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6" tabRatio="839" activeTab="0"/>
  </bookViews>
  <sheets>
    <sheet name="MAL-JUNE'08-QUATERLY" sheetId="1" r:id="rId1"/>
    <sheet name="Film-Summary" sheetId="2" state="hidden" r:id="rId2"/>
    <sheet name="B2B" sheetId="3" state="hidden" r:id="rId3"/>
    <sheet name="GBBB-cost" sheetId="4" state="hidden" r:id="rId4"/>
    <sheet name="B &amp; W Cost" sheetId="5" state="hidden" r:id="rId5"/>
    <sheet name="Fund Flow" sheetId="6" state="hidden" r:id="rId6"/>
    <sheet name="Cycle Kick Cost" sheetId="7" state="hidden" r:id="rId7"/>
    <sheet name="Publish format" sheetId="8" state="hidden" r:id="rId8"/>
  </sheets>
  <externalReferences>
    <externalReference r:id="rId11"/>
    <externalReference r:id="rId12"/>
  </externalReferences>
  <definedNames>
    <definedName name="_xlnm.Print_Area" localSheetId="0">'MAL-JUNE''08-QUATERLY'!$A$1:$J$50</definedName>
    <definedName name="_xlnm.Print_Titles" localSheetId="2">'B2B'!$1:$3</definedName>
  </definedNames>
  <calcPr fullCalcOnLoad="1"/>
</workbook>
</file>

<file path=xl/sharedStrings.xml><?xml version="1.0" encoding="utf-8"?>
<sst xmlns="http://schemas.openxmlformats.org/spreadsheetml/2006/main" count="1135" uniqueCount="778">
  <si>
    <t>Anil Kapoor</t>
  </si>
  <si>
    <t>Habib Tanvir</t>
  </si>
  <si>
    <t>Inderjit Ahluvalia</t>
  </si>
  <si>
    <t xml:space="preserve">Laloo Makhija </t>
  </si>
  <si>
    <t>Nawajuddin Siddiqui</t>
  </si>
  <si>
    <t>Pawan Chopra</t>
  </si>
  <si>
    <t>Rohit Singh</t>
  </si>
  <si>
    <t>Saurabh Dube</t>
  </si>
  <si>
    <t>Vinod Nahardih</t>
  </si>
  <si>
    <t>Amitabh shukla</t>
  </si>
  <si>
    <t>Rs.18,000/- PM</t>
  </si>
  <si>
    <t>Rs.50,000/- PM</t>
  </si>
  <si>
    <t>Rs. 5,000/- PM</t>
  </si>
  <si>
    <t>Rs. 20,000/- PM</t>
  </si>
  <si>
    <t>Assistant - Adil Ali</t>
  </si>
  <si>
    <t>Abheejit Despande</t>
  </si>
  <si>
    <t xml:space="preserve"> - Costume designer-Payal Saluja</t>
  </si>
  <si>
    <t xml:space="preserve">                              Himani Dehalvi </t>
  </si>
  <si>
    <t>Umesh Pandey</t>
  </si>
  <si>
    <t>Hemant Pandya</t>
  </si>
  <si>
    <t>R.P. Singh</t>
  </si>
  <si>
    <t>Rashmi Verma</t>
  </si>
  <si>
    <t>Indrajit Sharma-Music Arranger</t>
  </si>
  <si>
    <t>Music Director -</t>
  </si>
  <si>
    <t xml:space="preserve">Lyrist </t>
  </si>
  <si>
    <t>Krishnendu Sarkar</t>
  </si>
  <si>
    <t>Sanjay Sharma</t>
  </si>
  <si>
    <t>Mona Ghosh</t>
  </si>
  <si>
    <t>Assistant-ASHISH SALWAN</t>
  </si>
  <si>
    <t>Navin Gadkari</t>
  </si>
  <si>
    <t>Sanjay Londhe</t>
  </si>
  <si>
    <t>Sunil Khanpur</t>
  </si>
  <si>
    <t>Prakash Bharadwaj</t>
  </si>
  <si>
    <t>Other Actors-Indian</t>
  </si>
  <si>
    <t>Other Actors-Thai</t>
  </si>
  <si>
    <t>Asst 2</t>
  </si>
  <si>
    <t>Actor Makeup</t>
  </si>
  <si>
    <t>EXTRA CAST (Incl. Screen test)</t>
  </si>
  <si>
    <t>Dhirandranath Shukla</t>
  </si>
  <si>
    <t>Gopal Malo</t>
  </si>
  <si>
    <t>Kushal Chaudhary</t>
  </si>
  <si>
    <t>6,000/- p.day</t>
  </si>
  <si>
    <t>Sandesh Karkera</t>
  </si>
  <si>
    <t>6,500/- p.day</t>
  </si>
  <si>
    <t>5,500/- p.day</t>
  </si>
  <si>
    <t>Rs. 15,000/- PD</t>
  </si>
  <si>
    <t>Rs.2,500/- PD</t>
  </si>
  <si>
    <t>Rs.1,500/- PD</t>
  </si>
  <si>
    <t>Rs. 800/- PD</t>
  </si>
  <si>
    <t>Rs.800/- PD</t>
  </si>
  <si>
    <t>Digital Intermediate - Rajtaru Studios Ltd.</t>
  </si>
  <si>
    <t>TBH (Net)</t>
  </si>
  <si>
    <t>Ameya Hunaswadker</t>
  </si>
  <si>
    <t>Still dept-Rameshwar R.</t>
  </si>
  <si>
    <t>Asst. Sound Rec-B. Praful Chand</t>
  </si>
  <si>
    <t>Rs.5000/- PD</t>
  </si>
  <si>
    <t>Rs.4000/- PD</t>
  </si>
  <si>
    <t>Ravi Kale</t>
  </si>
  <si>
    <t>Zafar Ali</t>
  </si>
  <si>
    <t>Mira Savoor</t>
  </si>
  <si>
    <t>Rs. 20,000/- PD</t>
  </si>
  <si>
    <t>Rs. 5,000/- PD</t>
  </si>
  <si>
    <t>Rs.10000/- PD</t>
  </si>
  <si>
    <t>Narayan Sanzgiri</t>
  </si>
  <si>
    <t>Rs.8000/- PD</t>
  </si>
  <si>
    <t>Musthtaq Khan</t>
  </si>
  <si>
    <t>Rs.20000/- PD</t>
  </si>
  <si>
    <t>Sharad Kumar Singh</t>
  </si>
  <si>
    <t>Rs. 2,000/- PD</t>
  </si>
  <si>
    <t>Nirmal Khera</t>
  </si>
  <si>
    <t>Rs.7000/- PD</t>
  </si>
  <si>
    <t>Sonali Ambardekar</t>
  </si>
  <si>
    <t>Rs. 10,000/- PD</t>
  </si>
  <si>
    <t>Rs. 4,000/- PD</t>
  </si>
  <si>
    <t>Rs. 8,000/- PD</t>
  </si>
  <si>
    <t>Rs.2500/- PD</t>
  </si>
  <si>
    <t>Rs.7500/- PD</t>
  </si>
  <si>
    <t>Rs.3000/- PD</t>
  </si>
  <si>
    <t>Rs.3500/- PD</t>
  </si>
  <si>
    <t>Sukanya Dhanda</t>
  </si>
  <si>
    <t>Rs. 3,000/- PD</t>
  </si>
  <si>
    <t>Saie Tamhankar</t>
  </si>
  <si>
    <t>Roopal Tyagi</t>
  </si>
  <si>
    <t>Akash Khurana</t>
  </si>
  <si>
    <t>Nikhil Ratnaparkhi</t>
  </si>
  <si>
    <t>Gautam Shrrof</t>
  </si>
  <si>
    <t>T.S. Sidhu</t>
  </si>
  <si>
    <t>Sanjay Roy</t>
  </si>
  <si>
    <t>Gaurav Saini</t>
  </si>
  <si>
    <t>Shreyas Talpade</t>
  </si>
  <si>
    <t>Manmeet Singh Shawney</t>
  </si>
  <si>
    <t>Vijay Maurya</t>
  </si>
  <si>
    <t>Nagesh Kukunoor -Director</t>
  </si>
  <si>
    <t>Writer-Nagesh Kukunoor</t>
  </si>
  <si>
    <t>Production Mang.-Elahe Hiptoola</t>
  </si>
  <si>
    <t>Per day</t>
  </si>
  <si>
    <t>Paritosh Sand (cancelled)</t>
  </si>
  <si>
    <t>Assistant-ASHISH SHRIVASTAV</t>
  </si>
  <si>
    <t>2,000/- p.day</t>
  </si>
  <si>
    <t>Executive Producer-Devika Bahudhanam</t>
  </si>
  <si>
    <t>Art director-T Sunil Babu</t>
  </si>
  <si>
    <t>Costume designer-Aparna Shah</t>
  </si>
  <si>
    <t>Anil singh-Associate Cameraman</t>
  </si>
  <si>
    <t>Associate Director-Supriya sharma</t>
  </si>
  <si>
    <t>Focus Kuller-Sanjay Tamarkar</t>
  </si>
  <si>
    <t>Anirban Chatterji-Asst. cameraman</t>
  </si>
  <si>
    <t>Sanjay Hadpidkar</t>
  </si>
  <si>
    <t>Shekhar Bhosle</t>
  </si>
  <si>
    <t>Kush Chadda</t>
  </si>
  <si>
    <t>Music Expenses/composers</t>
  </si>
  <si>
    <t>Vaishnavi Reddy</t>
  </si>
  <si>
    <t>Line Producer-Yogesh Tewatia</t>
  </si>
  <si>
    <t>Sameer Antelawalla</t>
  </si>
  <si>
    <t>Rajendra Sharma</t>
  </si>
  <si>
    <t>Thai Prop Master</t>
  </si>
  <si>
    <t>Jeneva Talwar</t>
  </si>
  <si>
    <t>Pradeep Kabra</t>
  </si>
  <si>
    <t>Sharad Wagh</t>
  </si>
  <si>
    <t>Shiraz P</t>
  </si>
  <si>
    <t>Smita Hai</t>
  </si>
  <si>
    <t>Surendra Kumar</t>
  </si>
  <si>
    <t>Utara Bavkar</t>
  </si>
  <si>
    <t>Yatin Karyekar</t>
  </si>
  <si>
    <t>Menaka Lalwani</t>
  </si>
  <si>
    <t>Nasir Hussain</t>
  </si>
  <si>
    <t>Neeraj sood</t>
  </si>
  <si>
    <t>Vikrant Chaturvedi</t>
  </si>
  <si>
    <t>31.03.2007</t>
  </si>
  <si>
    <t>12 months in the</t>
  </si>
  <si>
    <t>12 months</t>
  </si>
  <si>
    <t>Ajaz Zahir Khan</t>
  </si>
  <si>
    <t>M Balraj</t>
  </si>
  <si>
    <t>Subba Reddy</t>
  </si>
  <si>
    <t>Music Director - Zubin Garg</t>
  </si>
  <si>
    <t>Other</t>
  </si>
  <si>
    <t>Production Team</t>
  </si>
  <si>
    <t>Baneet Singh Chabbra</t>
  </si>
  <si>
    <t>Imraan Khan</t>
  </si>
  <si>
    <t>Shikha Sharma</t>
  </si>
  <si>
    <t>Duangkaew Christensen</t>
  </si>
  <si>
    <t>Action Director-Amar Shetty</t>
  </si>
  <si>
    <t>Abdul Hamid</t>
  </si>
  <si>
    <t>Mehartaj Salma Ahmed</t>
  </si>
  <si>
    <t>Vihan Survase</t>
  </si>
  <si>
    <t>Camera Dept-Midgrey Films</t>
  </si>
  <si>
    <t>Rameshwar</t>
  </si>
  <si>
    <t>Abhay Nihalani</t>
  </si>
  <si>
    <t>Divya rao</t>
  </si>
  <si>
    <t>Radhika Sawhney</t>
  </si>
  <si>
    <t>Saurabh Agarwal</t>
  </si>
  <si>
    <t>Hair Dresser-Shabnam Azmi</t>
  </si>
  <si>
    <t>MUKTA ARTS LTD.</t>
  </si>
  <si>
    <t>Particulars</t>
  </si>
  <si>
    <t>PARTICULARS</t>
  </si>
  <si>
    <t>Other Income</t>
  </si>
  <si>
    <t>Total</t>
  </si>
  <si>
    <t>Interest &amp; Financial Charges</t>
  </si>
  <si>
    <t>Depreciation</t>
  </si>
  <si>
    <t>TOTAL</t>
  </si>
  <si>
    <t>Budget</t>
  </si>
  <si>
    <t>MUKTA ARTS LTD</t>
  </si>
  <si>
    <t>Artists</t>
  </si>
  <si>
    <t>Technicians</t>
  </si>
  <si>
    <t>Production Expenses</t>
  </si>
  <si>
    <t>Music Expenses</t>
  </si>
  <si>
    <t>Actual</t>
  </si>
  <si>
    <t>Others</t>
  </si>
  <si>
    <t>Agreement</t>
  </si>
  <si>
    <t>Actual incurred</t>
  </si>
  <si>
    <t xml:space="preserve">Balance </t>
  </si>
  <si>
    <t>(Bdgt- Actual)</t>
  </si>
  <si>
    <t>Amount</t>
  </si>
  <si>
    <t>to pay</t>
  </si>
  <si>
    <t>ARTISTS</t>
  </si>
  <si>
    <t xml:space="preserve"> </t>
  </si>
  <si>
    <t>STORY, SCREENPLAY &amp; DIALOUGES</t>
  </si>
  <si>
    <t>ABBAS TYREWALA</t>
  </si>
  <si>
    <t>PANKAJ TRIVEDI</t>
  </si>
  <si>
    <t>Mohd. Rafique</t>
  </si>
  <si>
    <t>Chirag Jain</t>
  </si>
  <si>
    <t>Nagi S. Singh</t>
  </si>
  <si>
    <t>STUDIO/LOCATION - SETTING &amp; PROPERTY</t>
  </si>
  <si>
    <t>RAW STOCK</t>
  </si>
  <si>
    <t>LABS CHARGES</t>
  </si>
  <si>
    <t>FALGUNI THAKORE - Costume designer</t>
  </si>
  <si>
    <t>MAKEUP MATERIAL &amp; WIGS</t>
  </si>
  <si>
    <t>ADMINISTRATION EXPENSES</t>
  </si>
  <si>
    <t>INSURANCE</t>
  </si>
  <si>
    <t>UNFORSEEN EXPENSES</t>
  </si>
  <si>
    <t xml:space="preserve">GOOD BOY BAD BOY </t>
  </si>
  <si>
    <t>Balance</t>
  </si>
  <si>
    <t>CAST</t>
  </si>
  <si>
    <t>Emraan Hashmi</t>
  </si>
  <si>
    <t>Tushhar Kapoor</t>
  </si>
  <si>
    <t>Tanushree Dutta</t>
  </si>
  <si>
    <t>Paresh Rawal</t>
  </si>
  <si>
    <t>EXTRA CAST &amp; OTHERS</t>
  </si>
  <si>
    <t>Aarmin Bhesania</t>
  </si>
  <si>
    <t>Ajay Thakur</t>
  </si>
  <si>
    <t>Anuj Gill</t>
  </si>
  <si>
    <t>Ashutosh Singh</t>
  </si>
  <si>
    <t>Kabir Sadanand</t>
  </si>
  <si>
    <t>Kuldeep Sharma</t>
  </si>
  <si>
    <t>Palash Dutta</t>
  </si>
  <si>
    <t>Punit Aneja</t>
  </si>
  <si>
    <t>Sapna Sand</t>
  </si>
  <si>
    <t>Saurabh Dubey</t>
  </si>
  <si>
    <t>Sushmita Mukherjee</t>
  </si>
  <si>
    <t>Tarun Bajaj</t>
  </si>
  <si>
    <t>Yusuf Hussain</t>
  </si>
  <si>
    <t>Abhishek Rawat</t>
  </si>
  <si>
    <t>Anang Desai</t>
  </si>
  <si>
    <t>Anurav Chatterjee</t>
  </si>
  <si>
    <t>A.R.Rama</t>
  </si>
  <si>
    <t>Ghanshyam Garg</t>
  </si>
  <si>
    <t>Harry Josh</t>
  </si>
  <si>
    <t>Kailash Kaushik</t>
  </si>
  <si>
    <t>Lalit Parasher</t>
  </si>
  <si>
    <t>Mrinal Deshraj</t>
  </si>
  <si>
    <t>Nasser Abdullah</t>
  </si>
  <si>
    <t>Navni Parihar</t>
  </si>
  <si>
    <t>Neeraj Khetrapal</t>
  </si>
  <si>
    <t>Prabha Sinha</t>
  </si>
  <si>
    <t>Rajesh Balwani</t>
  </si>
  <si>
    <t>Rakesh Bedi</t>
  </si>
  <si>
    <t>Sheetal Bedi</t>
  </si>
  <si>
    <t>Sunil Pal</t>
  </si>
  <si>
    <t>Tarun Swami</t>
  </si>
  <si>
    <t>Girls models</t>
  </si>
  <si>
    <t>WRITER</t>
  </si>
  <si>
    <t>Ashwani Dhir</t>
  </si>
  <si>
    <t>Irshad Kamil</t>
  </si>
  <si>
    <t>Pankaj Trivedi</t>
  </si>
  <si>
    <t>Sachin Shah</t>
  </si>
  <si>
    <t>Sanjay Chhel</t>
  </si>
  <si>
    <t>DIALOGUE WRITERS</t>
  </si>
  <si>
    <t xml:space="preserve">   "         "     - Assistants</t>
  </si>
  <si>
    <t>Back Ground Music</t>
  </si>
  <si>
    <t>shifts</t>
  </si>
  <si>
    <t>rate</t>
  </si>
  <si>
    <t>Total Days  45</t>
  </si>
  <si>
    <t>Travelling &amp; Transport Expenses (recee)</t>
  </si>
  <si>
    <t>STUDIOS / LOCATION</t>
  </si>
  <si>
    <t>EQUIPMENT HIRE CHARGES</t>
  </si>
  <si>
    <t>Rolls</t>
  </si>
  <si>
    <t>Rate</t>
  </si>
  <si>
    <t>Picture Negative  (100000ft)</t>
  </si>
  <si>
    <t>Sound Negative     (36000ft)</t>
  </si>
  <si>
    <t xml:space="preserve">Intermediate     (10000 ft)     </t>
  </si>
  <si>
    <t>Color Positive      (60000 ft)</t>
  </si>
  <si>
    <t>Tape etc....</t>
  </si>
  <si>
    <t>Processing Negatative (100000 ft)</t>
  </si>
  <si>
    <t xml:space="preserve">Sound                        ( 36000 ft.) </t>
  </si>
  <si>
    <t>Intermediate               (10000 ft)</t>
  </si>
  <si>
    <t>Color Positive            (60000 ft)</t>
  </si>
  <si>
    <t>Miscellenous including service tax</t>
  </si>
  <si>
    <t>POST PRODUCTION EXPENSES</t>
  </si>
  <si>
    <t>Effects matching</t>
  </si>
  <si>
    <t>DUBBING EXPENSES</t>
  </si>
  <si>
    <t>MIXING &amp; RE-RCORDING CHARGES</t>
  </si>
  <si>
    <t>OPTICAL &amp; TITLES &amp; CENSOR</t>
  </si>
  <si>
    <t>Trailors</t>
  </si>
  <si>
    <t>Special Effects</t>
  </si>
  <si>
    <t>Titles</t>
  </si>
  <si>
    <t>Censor</t>
  </si>
  <si>
    <t>PUBLICITY AND PROMOTION EXP.</t>
  </si>
  <si>
    <t>Still Photography</t>
  </si>
  <si>
    <t>Special Photo Session / Scanning</t>
  </si>
  <si>
    <t>Publicity Printing charges including c/o Positive</t>
  </si>
  <si>
    <t>Promotion / Advertising</t>
  </si>
  <si>
    <t xml:space="preserve">Office &amp; Production Salaries </t>
  </si>
  <si>
    <t>Telephone Expenses</t>
  </si>
  <si>
    <t>Premium (approximate)</t>
  </si>
  <si>
    <t>Unforeseen Expenses</t>
  </si>
  <si>
    <t>2,500/- p.day</t>
  </si>
  <si>
    <t>Joy Sengupta</t>
  </si>
  <si>
    <t>10,000/- p.day</t>
  </si>
  <si>
    <t>5,000/- p.day</t>
  </si>
  <si>
    <t>Madura Naik</t>
  </si>
  <si>
    <t>4,000/- p.day</t>
  </si>
  <si>
    <t>22,000/- p.day</t>
  </si>
  <si>
    <t>Nikita Bhatt</t>
  </si>
  <si>
    <t>1,500/- p.day</t>
  </si>
  <si>
    <t>7,000/- p.day</t>
  </si>
  <si>
    <t>25,000/- p.day</t>
  </si>
  <si>
    <t>3,000/- p.day</t>
  </si>
  <si>
    <t>Assistant - MANISH JAGWANT</t>
  </si>
  <si>
    <t>Assistant-MANOHAR PATIL</t>
  </si>
  <si>
    <t>Assistant - Minaz sayed</t>
  </si>
  <si>
    <t>Assistant - RAJENDRA SHARMA</t>
  </si>
  <si>
    <t>90,000/- p.song</t>
  </si>
  <si>
    <t>Assistant - SAEED AHMED</t>
  </si>
  <si>
    <t>Assistants</t>
  </si>
  <si>
    <t>SANJIB DUTTA</t>
  </si>
  <si>
    <t>Assistant - BIMAL CHAUHAN</t>
  </si>
  <si>
    <t>Assistant-Akki Sureshchandra</t>
  </si>
  <si>
    <t>Assistant - SHAIKH KADAR BASHAH</t>
  </si>
  <si>
    <t>Bobby Darling (cancelled)</t>
  </si>
  <si>
    <t>Amit Raj Arora (cancelled)</t>
  </si>
  <si>
    <t>Gayatri Chaudhary (cancelled)</t>
  </si>
  <si>
    <t>Hemant (cancelled)</t>
  </si>
  <si>
    <t>Prateeksha Lonkar (cancelled)</t>
  </si>
  <si>
    <t>Preeti Puri (Cancelled)</t>
  </si>
  <si>
    <t>Navneet Nishan (discontinued)</t>
  </si>
  <si>
    <t>Sachin Khedekar (discontinued)</t>
  </si>
  <si>
    <t>Sanjay Mishra (cancelled)</t>
  </si>
  <si>
    <t>Siddhartha (cancelled)</t>
  </si>
  <si>
    <t>Yatin Karyekar (cancelled)</t>
  </si>
  <si>
    <t>Milap Zaveri (discontinued)</t>
  </si>
  <si>
    <t>Aman Jeffery (discontinued)</t>
  </si>
  <si>
    <t>Bholu Khan (discontinued)</t>
  </si>
  <si>
    <t>MUSIC EXPENSES</t>
  </si>
  <si>
    <t>Misc. exp. (Telecine etc…..)</t>
  </si>
  <si>
    <t>Dialogue matching expenses</t>
  </si>
  <si>
    <t>Fund Flow Statement</t>
  </si>
  <si>
    <t>01.04.06</t>
  </si>
  <si>
    <t>to</t>
  </si>
  <si>
    <t>ICDS</t>
  </si>
  <si>
    <t>Mutual Funds/Bonds</t>
  </si>
  <si>
    <t>O.D./Loans</t>
  </si>
  <si>
    <t>WWIPL</t>
  </si>
  <si>
    <t>Investment in other Cos.</t>
  </si>
  <si>
    <t>Sister concerns</t>
  </si>
  <si>
    <t>MADEL</t>
  </si>
  <si>
    <t>Kapoor &amp; Kaushik</t>
  </si>
  <si>
    <t>Increase/(Decrease) in</t>
  </si>
  <si>
    <t>Working Capital</t>
  </si>
  <si>
    <t>Adv. For films</t>
  </si>
  <si>
    <t>Increase in Inventories</t>
  </si>
  <si>
    <t>Increase in Creditors</t>
  </si>
  <si>
    <t>Increase in Debtors</t>
  </si>
  <si>
    <t>Adv. Tax (Net of prov. &amp;</t>
  </si>
  <si>
    <t>Dividend payable</t>
  </si>
  <si>
    <t>Increase in Cash/Bank</t>
  </si>
  <si>
    <t>Increase in other C.A.</t>
  </si>
  <si>
    <t>on</t>
  </si>
  <si>
    <t>Op. Balance</t>
  </si>
  <si>
    <t>INFLOW</t>
  </si>
  <si>
    <t>OUTFLOW</t>
  </si>
  <si>
    <t xml:space="preserve">  Current Liabilities</t>
  </si>
  <si>
    <t xml:space="preserve">  Current Assets</t>
  </si>
  <si>
    <t>Share Capital</t>
  </si>
  <si>
    <t>Reserves &amp; Surplus</t>
  </si>
  <si>
    <t>Fixed Assets (W.D.V.)</t>
  </si>
  <si>
    <t>Less: Prelm. Exp.</t>
  </si>
  <si>
    <t>Other Liabilities</t>
  </si>
  <si>
    <t>Dfrrd)</t>
  </si>
  <si>
    <t>MAL Welfare Trust</t>
  </si>
  <si>
    <t>DANCERS</t>
  </si>
  <si>
    <t>OTHERS</t>
  </si>
  <si>
    <t xml:space="preserve">Sound Dept. </t>
  </si>
  <si>
    <t>31.08.06</t>
  </si>
  <si>
    <t>Manu Malik</t>
  </si>
  <si>
    <t>Shruti Arun Naik</t>
  </si>
  <si>
    <t>Direction</t>
  </si>
  <si>
    <t>EXTRA CAST</t>
  </si>
  <si>
    <t>Conveyance, Petrol Expenses &amp; Motor Car Exp.</t>
  </si>
  <si>
    <t>Isha Shervani</t>
  </si>
  <si>
    <t>Extras and incl. Dancers (Jr. Artists, Stunt)</t>
  </si>
  <si>
    <t xml:space="preserve">Office  General Expenses </t>
  </si>
  <si>
    <t xml:space="preserve"> STORY SITTING CHARGES</t>
  </si>
  <si>
    <t>REHEARSALS- DANCE</t>
  </si>
  <si>
    <t>Editing Exps.- room charges</t>
  </si>
  <si>
    <t>Designing Charges-Marching ants</t>
  </si>
  <si>
    <t>Dress and COSTUMES</t>
  </si>
  <si>
    <t>Production register O</t>
  </si>
  <si>
    <t>Purchase Register Balance</t>
  </si>
  <si>
    <t>Motor Car Exps</t>
  </si>
  <si>
    <t>30.06.2007</t>
  </si>
  <si>
    <t>COST OF PRODUCTION- "BOMBAY TO BANGKOK" as on 30.06.2007</t>
  </si>
  <si>
    <t>Bill Disocunting Charges</t>
  </si>
  <si>
    <t>COST OF PRODUCTION- "GBBB" as on 30.06.2007</t>
  </si>
  <si>
    <t>Dubbing Expenses</t>
  </si>
  <si>
    <t>COST OF PRODUCTION- "Cycle Kick" as on 30.06.2007</t>
  </si>
  <si>
    <t>COST OF PRODUCTION- "Black &amp; White" as on 30.06.2007</t>
  </si>
  <si>
    <t>Manmeet Singh</t>
  </si>
  <si>
    <r>
      <t>Assistant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Jahangir Hussain</t>
    </r>
  </si>
  <si>
    <r>
      <t xml:space="preserve"> </t>
    </r>
    <r>
      <rPr>
        <sz val="10"/>
        <rFont val="Tahoma"/>
        <family val="2"/>
      </rPr>
      <t>Abhijit Gidwani</t>
    </r>
  </si>
  <si>
    <t>Chandra Mohan</t>
  </si>
  <si>
    <t>TOTAL PRODUCTION EXPENSES</t>
  </si>
  <si>
    <t>TOTAL ADMINISTRATION EXPENSES</t>
  </si>
  <si>
    <t>TOTAL COST OF PRODUCTION</t>
  </si>
  <si>
    <t>Printing &amp; Stationary Exp.</t>
  </si>
  <si>
    <t>Regd. Office: 6, Bashiron, 28th Road, Bandra (W), Mumbai-400 050</t>
  </si>
  <si>
    <t>Segment - wise Revenue, Results and Capital Employed</t>
  </si>
  <si>
    <t>(Rs.in Lacs.)</t>
  </si>
  <si>
    <t>(Rs in Lacs except per share data)</t>
  </si>
  <si>
    <t xml:space="preserve">Consolidated </t>
  </si>
  <si>
    <t>Corresponding</t>
  </si>
  <si>
    <t>Previous</t>
  </si>
  <si>
    <t>S.NO.</t>
  </si>
  <si>
    <t>3 months</t>
  </si>
  <si>
    <t>3 months in the</t>
  </si>
  <si>
    <t>Prev. Year</t>
  </si>
  <si>
    <t>Quarter ended</t>
  </si>
  <si>
    <t>Period ended</t>
  </si>
  <si>
    <t>ended</t>
  </si>
  <si>
    <t>previous year</t>
  </si>
  <si>
    <t>30.06.2003</t>
  </si>
  <si>
    <t>31.03.2003</t>
  </si>
  <si>
    <t>S.No</t>
  </si>
  <si>
    <t>31.03.2006</t>
  </si>
  <si>
    <t>Unaudited</t>
  </si>
  <si>
    <t>Audited</t>
  </si>
  <si>
    <t>Net Sales / Income from Operations</t>
  </si>
  <si>
    <t>SEGMENT REVENUE</t>
  </si>
  <si>
    <t xml:space="preserve">Software Division </t>
  </si>
  <si>
    <t>Total Income</t>
  </si>
  <si>
    <t>Equipment Division</t>
  </si>
  <si>
    <t>Total Expenditure</t>
  </si>
  <si>
    <t>a) Cost of Production/Distribn./Worldrights-Software</t>
  </si>
  <si>
    <t>b) Administrative &amp; Office Expenses</t>
  </si>
  <si>
    <t>Less: Inter Segment Revenue</t>
  </si>
  <si>
    <t xml:space="preserve">     Total </t>
  </si>
  <si>
    <t>Net Sales/Income From Operation</t>
  </si>
  <si>
    <t>Profit/(Loss) before Interest &amp; Depreciation</t>
  </si>
  <si>
    <t>SEGMENT RESULTS</t>
  </si>
  <si>
    <t>Profit/(Loss) before Tax and Interest</t>
  </si>
  <si>
    <t>Profit/(Loss) before Tax</t>
  </si>
  <si>
    <t>from each Segment</t>
  </si>
  <si>
    <t xml:space="preserve">Provision for Taxation </t>
  </si>
  <si>
    <t>a) Current</t>
  </si>
  <si>
    <t>b) Deferred</t>
  </si>
  <si>
    <t>c) Fringe Benefit</t>
  </si>
  <si>
    <t>Net Profit/(Loss)</t>
  </si>
  <si>
    <t>Paid up Equity Share Capital -Total</t>
  </si>
  <si>
    <t>Less: Interest</t>
  </si>
  <si>
    <t xml:space="preserve">                                   Face Value Rs. 5/-</t>
  </si>
  <si>
    <t>Reserve excluding Revaluation</t>
  </si>
  <si>
    <t>Reserve (as per Balance Sheet) of</t>
  </si>
  <si>
    <t>Total Profit/(Loss) Before Tax</t>
  </si>
  <si>
    <t>Previous accounting Year</t>
  </si>
  <si>
    <t>Basic and Diluted EPS (Rs.Per Share)</t>
  </si>
  <si>
    <t>CAPITAL EMPLOYED</t>
  </si>
  <si>
    <t>Aggregate of non promoter shareholding</t>
  </si>
  <si>
    <t>(Segment assets - Segment Liabilities)</t>
  </si>
  <si>
    <t>- Number of Shares</t>
  </si>
  <si>
    <t>- percentage of Shareholding</t>
  </si>
  <si>
    <t>NOTES:</t>
  </si>
  <si>
    <t>a)</t>
  </si>
  <si>
    <t>b)</t>
  </si>
  <si>
    <t>c)</t>
  </si>
  <si>
    <t xml:space="preserve">Date </t>
  </si>
  <si>
    <t>Subhash Ghai</t>
  </si>
  <si>
    <t>Place</t>
  </si>
  <si>
    <t>: Mumbai</t>
  </si>
  <si>
    <t>Chairman &amp; Managing Director</t>
  </si>
  <si>
    <t>Directors in its meeting held on 19.04.2007</t>
  </si>
  <si>
    <t>Praful Chand</t>
  </si>
  <si>
    <t>Vicky Negi</t>
  </si>
  <si>
    <t>Professional fees</t>
  </si>
  <si>
    <t>JITENDRA MATHARO</t>
  </si>
  <si>
    <t>SUNIL SINGH</t>
  </si>
  <si>
    <t>TOTAL TECHNICIAN CHARGES</t>
  </si>
  <si>
    <t>TOTAL ARTISTS</t>
  </si>
  <si>
    <t>COST OF MUSIC:-</t>
  </si>
  <si>
    <t>Music Director-Himesh Reshamia</t>
  </si>
  <si>
    <t>TOTAL COST OF MUSIC</t>
  </si>
  <si>
    <t>PRODUCTION EXPENSES:-</t>
  </si>
  <si>
    <t>TECHNICIANS:-</t>
  </si>
  <si>
    <t>SHOOTING EXPENSES:-</t>
  </si>
  <si>
    <t>SETTING &amp; PROPERTY:-</t>
  </si>
  <si>
    <t>(Setting Material,Labour,Motor car Hire</t>
  </si>
  <si>
    <t>Property Hire charges)</t>
  </si>
  <si>
    <t xml:space="preserve">Professional Fees </t>
  </si>
  <si>
    <t>Sanjoy Chowdhury</t>
  </si>
  <si>
    <t>COST OF MUSIC</t>
  </si>
  <si>
    <t>TECHNICIANS- All Category</t>
  </si>
  <si>
    <t>CAMERA DEPARTMENT</t>
  </si>
  <si>
    <t>CHEOREOGRAPHER DEPT.</t>
  </si>
  <si>
    <t>DIRECTION DEPT</t>
  </si>
  <si>
    <t>DRESSMAN DEPT.</t>
  </si>
  <si>
    <t>EDITORS</t>
  </si>
  <si>
    <t>MAKE UP MEN/HAIR DRESSERS WITH ASSISTANTS</t>
  </si>
  <si>
    <t>SCRIPT WRITERS-STORY, SCREENPLAY &amp; DIALOUGES</t>
  </si>
  <si>
    <t>SOUND DEPT.</t>
  </si>
  <si>
    <t>Rakesh Ranjan</t>
  </si>
  <si>
    <t>STILL DEPT.</t>
  </si>
  <si>
    <t>COSTUME DEPT.</t>
  </si>
  <si>
    <t>ART DEPT.</t>
  </si>
  <si>
    <t>OTHER TECHNICIANS.</t>
  </si>
  <si>
    <t>Digital Intermediate Expenses</t>
  </si>
  <si>
    <t xml:space="preserve">Printing &amp; Stationary </t>
  </si>
  <si>
    <t>Atul Singh</t>
  </si>
  <si>
    <t>The above Unaudited Financial Results were reviewed by the Audit Committee and taken on record by the Board of</t>
  </si>
  <si>
    <t>CYCLE KICK</t>
  </si>
  <si>
    <t>BOMBAY TO BANGKOK</t>
  </si>
  <si>
    <t>30.11.06</t>
  </si>
  <si>
    <t>Bills Discounting Charges</t>
  </si>
  <si>
    <r>
      <t>Editors-</t>
    </r>
    <r>
      <rPr>
        <sz val="10"/>
        <rFont val="Tahoma"/>
        <family val="2"/>
      </rPr>
      <t>Sanjib Datta</t>
    </r>
  </si>
  <si>
    <r>
      <t>Action Director</t>
    </r>
    <r>
      <rPr>
        <sz val="10"/>
        <rFont val="Tahoma"/>
        <family val="2"/>
      </rPr>
      <t xml:space="preserve"> - P.BABU</t>
    </r>
  </si>
  <si>
    <r>
      <t xml:space="preserve">Art Director- </t>
    </r>
    <r>
      <rPr>
        <sz val="10"/>
        <rFont val="Tahoma"/>
        <family val="2"/>
      </rPr>
      <t>R. VERMAN</t>
    </r>
  </si>
  <si>
    <r>
      <t>Cinematographer -</t>
    </r>
    <r>
      <rPr>
        <sz val="10"/>
        <rFont val="Tahoma"/>
        <family val="2"/>
      </rPr>
      <t xml:space="preserve"> Manoj Soni</t>
    </r>
  </si>
  <si>
    <r>
      <t xml:space="preserve">Choreographer - </t>
    </r>
    <r>
      <rPr>
        <sz val="10"/>
        <rFont val="Tahoma"/>
        <family val="2"/>
      </rPr>
      <t>REMO D'SOUZA</t>
    </r>
  </si>
  <si>
    <r>
      <t xml:space="preserve">Choreographer </t>
    </r>
    <r>
      <rPr>
        <sz val="10"/>
        <rFont val="Tahoma"/>
        <family val="2"/>
      </rPr>
      <t>- SAROJ KHAN</t>
    </r>
  </si>
  <si>
    <r>
      <t>Costume Designer -</t>
    </r>
    <r>
      <rPr>
        <sz val="10"/>
        <rFont val="Tahoma"/>
        <family val="2"/>
      </rPr>
      <t xml:space="preserve"> FALGUNI THAKUR</t>
    </r>
  </si>
  <si>
    <r>
      <t>Director -</t>
    </r>
    <r>
      <rPr>
        <sz val="10"/>
        <rFont val="Tahoma"/>
        <family val="2"/>
      </rPr>
      <t xml:space="preserve"> ASHWIN CHOUDHARY</t>
    </r>
  </si>
  <si>
    <r>
      <t>Dressman -</t>
    </r>
    <r>
      <rPr>
        <sz val="10"/>
        <rFont val="Tahoma"/>
        <family val="2"/>
      </rPr>
      <t xml:space="preserve"> RAJESH P THOMBRE</t>
    </r>
  </si>
  <si>
    <r>
      <t>Editor</t>
    </r>
    <r>
      <rPr>
        <sz val="10"/>
        <rFont val="Tahoma"/>
        <family val="2"/>
      </rPr>
      <t xml:space="preserve"> - ARIF SHAIKH (discontinued)</t>
    </r>
  </si>
  <si>
    <r>
      <t>Sound Dept. Audiographer -</t>
    </r>
    <r>
      <rPr>
        <sz val="10"/>
        <rFont val="Tahoma"/>
        <family val="2"/>
      </rPr>
      <t>AKKI HEMCHANDRA</t>
    </r>
  </si>
  <si>
    <r>
      <t xml:space="preserve">Make up men </t>
    </r>
    <r>
      <rPr>
        <sz val="10"/>
        <rFont val="Tahoma"/>
        <family val="2"/>
      </rPr>
      <t>- AYAZ SHEIKH</t>
    </r>
  </si>
  <si>
    <r>
      <t xml:space="preserve">Dolby + D T S </t>
    </r>
    <r>
      <rPr>
        <sz val="10"/>
        <rFont val="Tahoma"/>
        <family val="2"/>
      </rPr>
      <t>Licence fees.</t>
    </r>
  </si>
  <si>
    <t>Brokerage &amp; Commission</t>
  </si>
  <si>
    <t>Cost of Music</t>
  </si>
  <si>
    <t>Technicians- All Category</t>
  </si>
  <si>
    <t>ART Dept</t>
  </si>
  <si>
    <t>Cinematographer</t>
  </si>
  <si>
    <t>Cheoreographer Dept</t>
  </si>
  <si>
    <t>Direction Dept</t>
  </si>
  <si>
    <t>Dressman Dept</t>
  </si>
  <si>
    <t>Other Technicians</t>
  </si>
  <si>
    <t>Costume Dept.</t>
  </si>
  <si>
    <t>Sunil Singh</t>
  </si>
  <si>
    <t>PRODUCTION EXPENSES</t>
  </si>
  <si>
    <t>MD Irfan A.K.Khan</t>
  </si>
  <si>
    <t>Overseas Shooting Expenses</t>
  </si>
  <si>
    <t>Setting Labour</t>
  </si>
  <si>
    <t>Biju Kumar</t>
  </si>
  <si>
    <t>Cyril Kuruvilla</t>
  </si>
  <si>
    <t>P.Chandrian</t>
  </si>
  <si>
    <t>Tirunava Kusum Krishanan</t>
  </si>
  <si>
    <t>Lyricist-Abrahim Ashq</t>
  </si>
  <si>
    <t>Action Director - Ilyas Shaikh</t>
  </si>
  <si>
    <t>Anirban Chatterrerjee</t>
  </si>
  <si>
    <t>Ashish Srivastav</t>
  </si>
  <si>
    <t>Nitin</t>
  </si>
  <si>
    <t>Mohana Krishna</t>
  </si>
  <si>
    <t>Rajesh Tanwar</t>
  </si>
  <si>
    <t>Sanjeev Kumar</t>
  </si>
  <si>
    <t>Jatish Verma</t>
  </si>
  <si>
    <t>Rupesh Waghmare</t>
  </si>
  <si>
    <t>Sunayana Paradkar</t>
  </si>
  <si>
    <t>Joginder Chauhan</t>
  </si>
  <si>
    <t>Santosh Pardesi</t>
  </si>
  <si>
    <t>SIC Production (Films) Pvt. Ltd.</t>
  </si>
  <si>
    <t>Stamp Duty Expense</t>
  </si>
  <si>
    <t>Legal Expenses</t>
  </si>
  <si>
    <t>Casettes Expenses</t>
  </si>
  <si>
    <t>Location Hunting Charges</t>
  </si>
  <si>
    <t>FINANCE CHARGES</t>
  </si>
  <si>
    <t>Casette Exps</t>
  </si>
  <si>
    <t>Censor Certification</t>
  </si>
  <si>
    <t>ADMINISTRATION EXPS</t>
  </si>
  <si>
    <t>Computer</t>
  </si>
  <si>
    <t>Conveyance</t>
  </si>
  <si>
    <t>Cost Of Prints and rolls</t>
  </si>
  <si>
    <t xml:space="preserve">Daily Wages </t>
  </si>
  <si>
    <t>Dress and Costumes</t>
  </si>
  <si>
    <t>Dubbing Exps</t>
  </si>
  <si>
    <t xml:space="preserve">Editing </t>
  </si>
  <si>
    <t>Equipment Hire Charges</t>
  </si>
  <si>
    <t>Food and refreshments</t>
  </si>
  <si>
    <t>Laundry Charges</t>
  </si>
  <si>
    <t>Legal Exps</t>
  </si>
  <si>
    <t>Lodging &amp; Boarding</t>
  </si>
  <si>
    <t>Make-Up Charges</t>
  </si>
  <si>
    <t>Make-Up Material</t>
  </si>
  <si>
    <t>Medical exps</t>
  </si>
  <si>
    <t>Motor Car Hire Exps</t>
  </si>
  <si>
    <t>Overtime Charges</t>
  </si>
  <si>
    <t>Handling and Transportation, Packing and Forwarding</t>
  </si>
  <si>
    <t>Petrol and Diesel exps</t>
  </si>
  <si>
    <t>Processing Charges</t>
  </si>
  <si>
    <t xml:space="preserve">Postage, Courier, </t>
  </si>
  <si>
    <t>Projection Charges</t>
  </si>
  <si>
    <t>Publicity Exps</t>
  </si>
  <si>
    <t>Raw Stock</t>
  </si>
  <si>
    <t>Rehearsal exps</t>
  </si>
  <si>
    <t>Re-Recording and Mixing</t>
  </si>
  <si>
    <t>Road Toll Tax</t>
  </si>
  <si>
    <t>Sound Transfer</t>
  </si>
  <si>
    <t>Sound Recording</t>
  </si>
  <si>
    <t>Special Effect</t>
  </si>
  <si>
    <t>Stamp Duty Charges</t>
  </si>
  <si>
    <t>Story Sitting Charges</t>
  </si>
  <si>
    <t>Telecine Exps</t>
  </si>
  <si>
    <t>Telephone Exps</t>
  </si>
  <si>
    <t>Travelling</t>
  </si>
  <si>
    <t>VAT 4%</t>
  </si>
  <si>
    <t>Website Exps</t>
  </si>
  <si>
    <t>Total Other Prod Exps</t>
  </si>
  <si>
    <t>Other Production Exps</t>
  </si>
  <si>
    <t>TOTAL COST OF MUSIC             (B)</t>
  </si>
  <si>
    <t>TOTAL ARTISTS                         (A)</t>
  </si>
  <si>
    <t>Finance Cost</t>
  </si>
  <si>
    <t>Prod &amp; Admin Costs</t>
  </si>
  <si>
    <t>Script Writers-STORY, SCREENPLAY &amp; DIALOUGES</t>
  </si>
  <si>
    <t>Shirish Gathe</t>
  </si>
  <si>
    <t>TOTAL TECHNICIAN                       (  C  )</t>
  </si>
  <si>
    <t>TOTAL PRODUCTION COSTS         (D)</t>
  </si>
  <si>
    <t>TOTAL FINANCE COST        (E)</t>
  </si>
  <si>
    <t>TOTAL ADMIN COSTS          (F)</t>
  </si>
  <si>
    <t>Abhishek Saha</t>
  </si>
  <si>
    <t>Aditi Sharma</t>
  </si>
  <si>
    <t>Amit Kumar</t>
  </si>
  <si>
    <t>Ashok Kumar Beniwal</t>
  </si>
  <si>
    <t>Bablu Singh</t>
  </si>
  <si>
    <t>Bharat Shah</t>
  </si>
  <si>
    <t>Bhuvanesh Shetty</t>
  </si>
  <si>
    <t>Chirag Dave</t>
  </si>
  <si>
    <t>Dinesh Mehta</t>
  </si>
  <si>
    <t>Dwij Yadav</t>
  </si>
  <si>
    <t>Girija Oak</t>
  </si>
  <si>
    <t>Gurmeet Chaudhary</t>
  </si>
  <si>
    <t>Hiren Joshi</t>
  </si>
  <si>
    <t>Jezbel</t>
  </si>
  <si>
    <t>Khagendra Kumar Singh</t>
  </si>
  <si>
    <t>Kisna Singh Bisht</t>
  </si>
  <si>
    <t>K P Nishan Nanajah</t>
  </si>
  <si>
    <t>Krishna Shelar</t>
  </si>
  <si>
    <t>Kuldip Tyagi</t>
  </si>
  <si>
    <t>Pankaj Dhandar</t>
  </si>
  <si>
    <t>Parthasarthi Ray</t>
  </si>
  <si>
    <t>Prem Sharma</t>
  </si>
  <si>
    <t>Rajeev Kumar</t>
  </si>
  <si>
    <t>Rohan shroff</t>
  </si>
  <si>
    <t>Samir Kochhar</t>
  </si>
  <si>
    <t>Satyajit Rajput</t>
  </si>
  <si>
    <t>Shahid Shaikh</t>
  </si>
  <si>
    <t>Shefali Shah</t>
  </si>
  <si>
    <t>Shivani Joshi</t>
  </si>
  <si>
    <t>Shruti Battacharya</t>
  </si>
  <si>
    <t>Sukrit Sharma</t>
  </si>
  <si>
    <t>Sunny Hinduja</t>
  </si>
  <si>
    <t>Tom Alter</t>
  </si>
  <si>
    <t>Willy Joy</t>
  </si>
  <si>
    <t>Gaurav Mishra</t>
  </si>
  <si>
    <t>Himanshu Vora</t>
  </si>
  <si>
    <t>savitri Mehadatul</t>
  </si>
  <si>
    <t>Shashi Sudigala</t>
  </si>
  <si>
    <t>Surinder Bhatia</t>
  </si>
  <si>
    <t>Sushant Arora</t>
  </si>
  <si>
    <t>Anshul Chaubey</t>
  </si>
  <si>
    <t>Black and White</t>
  </si>
  <si>
    <t>Anurag Sinha</t>
  </si>
  <si>
    <t>Ginny Malik</t>
  </si>
  <si>
    <t>Hrishita Bhatt</t>
  </si>
  <si>
    <t>Kumud Mishra</t>
  </si>
  <si>
    <t>Milind Gunaji</t>
  </si>
  <si>
    <t>Om Puri</t>
  </si>
  <si>
    <t>Salim Merchant</t>
  </si>
  <si>
    <t>Suleiman Merchant</t>
  </si>
  <si>
    <t>Music Director</t>
  </si>
  <si>
    <t>Musician</t>
  </si>
  <si>
    <t>Playback Singers</t>
  </si>
  <si>
    <t>Music Exps</t>
  </si>
  <si>
    <t>Hriday Asthana</t>
  </si>
  <si>
    <t>Reynold Dass</t>
  </si>
  <si>
    <t>Kapil Verma</t>
  </si>
  <si>
    <t>Kadar Badshah</t>
  </si>
  <si>
    <t>Rajesh Thombre</t>
  </si>
  <si>
    <t>Saeed Sheikh</t>
  </si>
  <si>
    <t>Ramesh Sharma</t>
  </si>
  <si>
    <t>Surekha Gangnaik</t>
  </si>
  <si>
    <t>Ayaz Sheikh</t>
  </si>
  <si>
    <t>Nilesh Patkar</t>
  </si>
  <si>
    <t>Make up men/Hair Dressers with Assistants</t>
  </si>
  <si>
    <t xml:space="preserve">d) </t>
  </si>
  <si>
    <t xml:space="preserve">The Board of Directors have declared and paid an Interim Dividend @ 40% on face value of shares  </t>
  </si>
  <si>
    <t>Others-Polke/Londhe</t>
  </si>
  <si>
    <t>Deepak Nayak</t>
  </si>
  <si>
    <t>Mahendra Jedhe</t>
  </si>
  <si>
    <t>Sanjeeb datta</t>
  </si>
  <si>
    <t>Amarjeet singh</t>
  </si>
  <si>
    <t>Dharmendra Jaiswal</t>
  </si>
  <si>
    <t>Ishita Ambardekar</t>
  </si>
  <si>
    <t>Jaimini Pathak</t>
  </si>
  <si>
    <t>Kuldeep sareen</t>
  </si>
  <si>
    <t>Madhur Arora</t>
  </si>
  <si>
    <t>Mahindra Singh Vij</t>
  </si>
  <si>
    <t>Shabnam Kapoor</t>
  </si>
  <si>
    <t>Sudhir Nema</t>
  </si>
  <si>
    <t>Vipin Sharma</t>
  </si>
  <si>
    <t>Yogendra Singh</t>
  </si>
  <si>
    <t>Mandar Gokhale</t>
  </si>
  <si>
    <t>Leela Chanda</t>
  </si>
  <si>
    <t>Dhirendra Nath Shukla</t>
  </si>
  <si>
    <t>Kushal Choudhary</t>
  </si>
  <si>
    <t>Manik Das</t>
  </si>
  <si>
    <t>M Bhaskar Rao</t>
  </si>
  <si>
    <t>Saikat Mallick</t>
  </si>
  <si>
    <t>Somak Mukharjee</t>
  </si>
  <si>
    <t>Dialogue Writers</t>
  </si>
  <si>
    <t>Anshuman Jha</t>
  </si>
  <si>
    <t>Madhur Bhandarkar</t>
  </si>
  <si>
    <t>Manoj Tyagi</t>
  </si>
  <si>
    <t>Mrigdeep Singh Lamba</t>
  </si>
  <si>
    <t>Payal Verma</t>
  </si>
  <si>
    <t>Rohit Gaba</t>
  </si>
  <si>
    <t>F Tabassum Sayeed</t>
  </si>
  <si>
    <t>Lilavat S Behera</t>
  </si>
  <si>
    <t>Amrita Verma</t>
  </si>
  <si>
    <t>Deepak Chauhan</t>
  </si>
  <si>
    <t>Mohan Pawar</t>
  </si>
  <si>
    <t>Wahid Shaikh</t>
  </si>
  <si>
    <t>Mahavir Singh</t>
  </si>
  <si>
    <t>Punita Choudhary</t>
  </si>
  <si>
    <t>Shipi Das Gupta</t>
  </si>
  <si>
    <t>Arun Bakshi</t>
  </si>
  <si>
    <t>Action Director-Manohar Verma</t>
  </si>
  <si>
    <t>Ayaz Shaikh</t>
  </si>
  <si>
    <t>Production Dept</t>
  </si>
  <si>
    <t>Akki Sureshchandra</t>
  </si>
  <si>
    <t>Stunt artist</t>
  </si>
  <si>
    <t>Others incl Contingencies</t>
  </si>
  <si>
    <t>VAT/Service tax Provision</t>
  </si>
  <si>
    <t>: 19.04.2007</t>
  </si>
  <si>
    <t>The auditors have conducted a "Limited Review" of the above financial results for the quarter ended on 31.03.2007</t>
  </si>
  <si>
    <t>Information on investor complaints for the quarter - (Nos.): Opening balance = 0, New =0, Disposals =0, Closing Balance = 0.</t>
  </si>
  <si>
    <t>UNAUDITED FINANCIAL RESULTS FOR QUARTER ENDED  31st March, 2007</t>
  </si>
  <si>
    <t>Audiographer -</t>
  </si>
  <si>
    <t>Artists (excl. Anil Kapoor)</t>
  </si>
  <si>
    <t xml:space="preserve">          Other unallocable expenditure</t>
  </si>
  <si>
    <t xml:space="preserve">           Net of unallocable income</t>
  </si>
  <si>
    <t>For MUKTA ARTS LTD</t>
  </si>
  <si>
    <t>For and behalf of Board of Directors</t>
  </si>
  <si>
    <t>(Subhash Ghai)</t>
  </si>
  <si>
    <t xml:space="preserve"> Budget </t>
  </si>
  <si>
    <t xml:space="preserve"> Agreement </t>
  </si>
  <si>
    <t xml:space="preserve"> Actual incurred </t>
  </si>
  <si>
    <t xml:space="preserve"> Amount </t>
  </si>
  <si>
    <t>30.01.07</t>
  </si>
  <si>
    <t xml:space="preserve"> to pay </t>
  </si>
  <si>
    <t xml:space="preserve"> -   </t>
  </si>
  <si>
    <t xml:space="preserve">   </t>
  </si>
  <si>
    <t>Ishita Sharma</t>
  </si>
  <si>
    <t>Pramod Kalekar</t>
  </si>
  <si>
    <t>Vishvanath Mistry</t>
  </si>
  <si>
    <t>Stunt Artist</t>
  </si>
  <si>
    <t>e)</t>
  </si>
  <si>
    <t>For Mukta Arts Limited</t>
  </si>
  <si>
    <t>Previous period figures have been regrouped / recast wherever necessary.</t>
  </si>
  <si>
    <t>30.06.2008</t>
  </si>
  <si>
    <t>31.03.2008</t>
  </si>
  <si>
    <t>d)</t>
  </si>
  <si>
    <t>MUKTA ARTS LIMITED</t>
  </si>
  <si>
    <t xml:space="preserve">Previous </t>
  </si>
  <si>
    <t>Accounting</t>
  </si>
  <si>
    <t>Year ended</t>
  </si>
  <si>
    <t xml:space="preserve">Total Income </t>
  </si>
  <si>
    <t>Expenditure</t>
  </si>
  <si>
    <t xml:space="preserve">  b) Employees Cost</t>
  </si>
  <si>
    <t xml:space="preserve">  c) Depreciation</t>
  </si>
  <si>
    <t xml:space="preserve">  d) Other Expenditure</t>
  </si>
  <si>
    <t xml:space="preserve">  e) Total Expenditure</t>
  </si>
  <si>
    <t xml:space="preserve">Interest </t>
  </si>
  <si>
    <t>Exceptional Items</t>
  </si>
  <si>
    <t>Profit/(Loss) from Ordinary Activities Before Tax</t>
  </si>
  <si>
    <t>Tax Expenses</t>
  </si>
  <si>
    <t xml:space="preserve">  a) Current</t>
  </si>
  <si>
    <t xml:space="preserve">  b) Deferred</t>
  </si>
  <si>
    <t xml:space="preserve">  c) Fringe Benefit</t>
  </si>
  <si>
    <t>Net Profit/(Loss) from Ordinary Activities After Tax</t>
  </si>
  <si>
    <t>Extraordinary Items (net of tax expenses)</t>
  </si>
  <si>
    <t>Net Profit/(Loss) for the Period</t>
  </si>
  <si>
    <t>Paid up Equity Share Capital (Face Value of Rs. 5/- each)</t>
  </si>
  <si>
    <t xml:space="preserve">Reserves excluding Revaluation Reserves as per Balance </t>
  </si>
  <si>
    <t>Sheet of Previous Accounting Year</t>
  </si>
  <si>
    <t>Earning Per Share (EPS)</t>
  </si>
  <si>
    <t>a) Basic and diluted EPS before Extraordinary</t>
  </si>
  <si>
    <t>b) Basic and diluted EPS after Extraordinary</t>
  </si>
  <si>
    <t>Public Shareholding</t>
  </si>
  <si>
    <t>(Segment Assets - Segment Liabilities)</t>
  </si>
  <si>
    <t>a) Number of Shares</t>
  </si>
  <si>
    <t>b) Percentage of Shareholding</t>
  </si>
  <si>
    <t>For and on behalf of the Board of Director</t>
  </si>
  <si>
    <t>UNAUDITED FINANCIAL RESULTS FOR THE QUARTER ENDED 30TH JUNE, 2008</t>
  </si>
  <si>
    <t>The auditors have conducted a "Limited Review" of the above financial results for the quarter ended on 30.06.2008</t>
  </si>
  <si>
    <t xml:space="preserve">                                      (Rs in Lacs except per share data)</t>
  </si>
  <si>
    <t>Less:   Interest</t>
  </si>
  <si>
    <t xml:space="preserve">            Other unallocable expenditure</t>
  </si>
  <si>
    <t xml:space="preserve">            Net of unallocable income</t>
  </si>
  <si>
    <t xml:space="preserve">                                                                   (Rs in Lacs )</t>
  </si>
  <si>
    <t xml:space="preserve">  a) Cost of Production/Distribution/Worldrights-Software</t>
  </si>
  <si>
    <t>Directors in its meeting held on 25.07.2008</t>
  </si>
  <si>
    <t>: 25.07.2008</t>
  </si>
  <si>
    <t>Information on invester complaints for the quarter - (Nos) :  Opening balance = 0, New =4 , Disposals =4 , Closing balance = 0.</t>
  </si>
  <si>
    <t xml:space="preserve">In this quarter a Marathi film "Sanai Chaughade" was released.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</si>
</sst>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Verdan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sz val="18"/>
      <name val="Tahoma"/>
      <family val="2"/>
    </font>
    <font>
      <b/>
      <u val="singleAccounting"/>
      <sz val="10"/>
      <name val="Tahoma"/>
      <family val="2"/>
    </font>
    <font>
      <u val="singleAccounting"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u val="single"/>
      <sz val="10"/>
      <name val="Tahoma"/>
      <family val="2"/>
    </font>
    <font>
      <sz val="14"/>
      <name val="Tahoma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0"/>
      <name val="Verdana"/>
      <family val="2"/>
    </font>
    <font>
      <b/>
      <sz val="14"/>
      <color indexed="10"/>
      <name val="Tahoma"/>
      <family val="2"/>
    </font>
    <font>
      <b/>
      <u val="singleAccounting"/>
      <sz val="10"/>
      <color indexed="10"/>
      <name val="Tahoma"/>
      <family val="2"/>
    </font>
    <font>
      <u val="singleAccounting"/>
      <sz val="10"/>
      <color indexed="10"/>
      <name val="Tahoma"/>
      <family val="2"/>
    </font>
    <font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b/>
      <sz val="14"/>
      <name val="Book Antiqua"/>
      <family val="1"/>
    </font>
    <font>
      <b/>
      <i/>
      <sz val="11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4" fillId="3" borderId="0" applyNumberFormat="0" applyBorder="0" applyAlignment="0" applyProtection="0"/>
    <xf numFmtId="0" fontId="48" fillId="20" borderId="1" applyNumberFormat="0" applyAlignment="0" applyProtection="0"/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6" fillId="7" borderId="1" applyNumberFormat="0" applyAlignment="0" applyProtection="0"/>
    <xf numFmtId="0" fontId="49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64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164" fontId="7" fillId="0" borderId="1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7" fillId="0" borderId="0" xfId="42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1" xfId="42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5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43" fontId="7" fillId="0" borderId="0" xfId="42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42" applyNumberFormat="1" applyFont="1" applyAlignment="1">
      <alignment/>
    </xf>
    <xf numFmtId="164" fontId="13" fillId="0" borderId="11" xfId="42" applyNumberFormat="1" applyFont="1" applyBorder="1" applyAlignment="1">
      <alignment/>
    </xf>
    <xf numFmtId="164" fontId="7" fillId="0" borderId="11" xfId="42" applyNumberFormat="1" applyFont="1" applyFill="1" applyBorder="1" applyAlignment="1">
      <alignment horizontal="center"/>
    </xf>
    <xf numFmtId="164" fontId="7" fillId="0" borderId="0" xfId="42" applyNumberFormat="1" applyFont="1" applyBorder="1" applyAlignment="1">
      <alignment horizontal="center"/>
    </xf>
    <xf numFmtId="43" fontId="5" fillId="0" borderId="0" xfId="42" applyFont="1" applyAlignment="1">
      <alignment/>
    </xf>
    <xf numFmtId="0" fontId="7" fillId="0" borderId="11" xfId="0" applyFont="1" applyFill="1" applyBorder="1" applyAlignment="1">
      <alignment/>
    </xf>
    <xf numFmtId="43" fontId="7" fillId="0" borderId="10" xfId="42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4" fontId="7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7" fillId="0" borderId="0" xfId="42" applyNumberFormat="1" applyFont="1" applyAlignment="1">
      <alignment horizontal="center"/>
    </xf>
    <xf numFmtId="164" fontId="6" fillId="0" borderId="0" xfId="42" applyNumberFormat="1" applyFont="1" applyAlignment="1">
      <alignment horizontal="center"/>
    </xf>
    <xf numFmtId="164" fontId="13" fillId="0" borderId="0" xfId="42" applyNumberFormat="1" applyFont="1" applyBorder="1" applyAlignment="1">
      <alignment/>
    </xf>
    <xf numFmtId="0" fontId="14" fillId="0" borderId="0" xfId="0" applyFont="1" applyAlignment="1">
      <alignment/>
    </xf>
    <xf numFmtId="164" fontId="6" fillId="0" borderId="10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4" fontId="17" fillId="0" borderId="0" xfId="42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64" fontId="5" fillId="0" borderId="0" xfId="42" applyNumberFormat="1" applyFont="1" applyBorder="1" applyAlignment="1">
      <alignment horizontal="center"/>
    </xf>
    <xf numFmtId="164" fontId="7" fillId="0" borderId="0" xfId="42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7" fillId="0" borderId="11" xfId="42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164" fontId="11" fillId="0" borderId="0" xfId="42" applyNumberFormat="1" applyFont="1" applyBorder="1" applyAlignment="1">
      <alignment/>
    </xf>
    <xf numFmtId="164" fontId="18" fillId="0" borderId="0" xfId="42" applyNumberFormat="1" applyFont="1" applyBorder="1" applyAlignment="1">
      <alignment/>
    </xf>
    <xf numFmtId="164" fontId="19" fillId="0" borderId="0" xfId="42" applyNumberFormat="1" applyFont="1" applyBorder="1" applyAlignment="1">
      <alignment/>
    </xf>
    <xf numFmtId="164" fontId="18" fillId="0" borderId="0" xfId="42" applyNumberFormat="1" applyFont="1" applyBorder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43" fontId="7" fillId="0" borderId="0" xfId="42" applyFont="1" applyAlignment="1">
      <alignment horizontal="right"/>
    </xf>
    <xf numFmtId="43" fontId="5" fillId="0" borderId="0" xfId="42" applyFont="1" applyAlignment="1">
      <alignment horizontal="right"/>
    </xf>
    <xf numFmtId="43" fontId="5" fillId="0" borderId="0" xfId="0" applyNumberFormat="1" applyFont="1" applyAlignment="1">
      <alignment/>
    </xf>
    <xf numFmtId="43" fontId="7" fillId="0" borderId="0" xfId="42" applyFont="1" applyBorder="1" applyAlignment="1">
      <alignment/>
    </xf>
    <xf numFmtId="43" fontId="7" fillId="0" borderId="11" xfId="42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3" fontId="24" fillId="0" borderId="0" xfId="42" applyFont="1" applyFill="1" applyBorder="1" applyAlignment="1">
      <alignment horizontal="right"/>
    </xf>
    <xf numFmtId="164" fontId="7" fillId="0" borderId="15" xfId="42" applyNumberFormat="1" applyFont="1" applyFill="1" applyBorder="1" applyAlignment="1">
      <alignment/>
    </xf>
    <xf numFmtId="43" fontId="23" fillId="0" borderId="15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24" fillId="0" borderId="0" xfId="42" applyFont="1" applyFill="1" applyBorder="1" applyAlignment="1">
      <alignment/>
    </xf>
    <xf numFmtId="43" fontId="24" fillId="0" borderId="15" xfId="42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24" fillId="0" borderId="14" xfId="42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23" fillId="0" borderId="0" xfId="42" applyFont="1" applyFill="1" applyBorder="1" applyAlignment="1">
      <alignment/>
    </xf>
    <xf numFmtId="0" fontId="24" fillId="0" borderId="15" xfId="0" applyFont="1" applyFill="1" applyBorder="1" applyAlignment="1">
      <alignment/>
    </xf>
    <xf numFmtId="43" fontId="23" fillId="0" borderId="14" xfId="42" applyFont="1" applyFill="1" applyBorder="1" applyAlignment="1">
      <alignment/>
    </xf>
    <xf numFmtId="43" fontId="23" fillId="0" borderId="0" xfId="42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/>
    </xf>
    <xf numFmtId="43" fontId="7" fillId="0" borderId="15" xfId="42" applyFont="1" applyFill="1" applyBorder="1" applyAlignment="1">
      <alignment/>
    </xf>
    <xf numFmtId="43" fontId="24" fillId="0" borderId="0" xfId="42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164" fontId="24" fillId="0" borderId="0" xfId="42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10" fontId="23" fillId="0" borderId="11" xfId="0" applyNumberFormat="1" applyFont="1" applyFill="1" applyBorder="1" applyAlignment="1">
      <alignment/>
    </xf>
    <xf numFmtId="43" fontId="24" fillId="0" borderId="11" xfId="42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43" fontId="5" fillId="0" borderId="11" xfId="0" applyNumberFormat="1" applyFont="1" applyFill="1" applyBorder="1" applyAlignment="1">
      <alignment/>
    </xf>
    <xf numFmtId="43" fontId="24" fillId="0" borderId="11" xfId="42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43" fontId="24" fillId="0" borderId="20" xfId="42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7" fillId="0" borderId="22" xfId="42" applyNumberFormat="1" applyFont="1" applyFill="1" applyBorder="1" applyAlignment="1">
      <alignment/>
    </xf>
    <xf numFmtId="164" fontId="5" fillId="0" borderId="22" xfId="42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14" fontId="7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4" fontId="16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7" fillId="0" borderId="0" xfId="42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64" fontId="17" fillId="0" borderId="0" xfId="42" applyNumberFormat="1" applyFont="1" applyFill="1" applyBorder="1" applyAlignment="1">
      <alignment horizontal="right"/>
    </xf>
    <xf numFmtId="164" fontId="12" fillId="0" borderId="10" xfId="42" applyNumberFormat="1" applyFont="1" applyFill="1" applyBorder="1" applyAlignment="1">
      <alignment/>
    </xf>
    <xf numFmtId="164" fontId="11" fillId="0" borderId="0" xfId="42" applyNumberFormat="1" applyFont="1" applyFill="1" applyBorder="1" applyAlignment="1">
      <alignment/>
    </xf>
    <xf numFmtId="164" fontId="12" fillId="0" borderId="1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64" fontId="12" fillId="0" borderId="10" xfId="42" applyNumberFormat="1" applyFont="1" applyBorder="1" applyAlignment="1">
      <alignment vertical="top"/>
    </xf>
    <xf numFmtId="164" fontId="28" fillId="0" borderId="0" xfId="42" applyNumberFormat="1" applyFont="1" applyBorder="1" applyAlignment="1">
      <alignment horizontal="right"/>
    </xf>
    <xf numFmtId="164" fontId="12" fillId="0" borderId="0" xfId="42" applyNumberFormat="1" applyFont="1" applyBorder="1" applyAlignment="1">
      <alignment horizontal="right"/>
    </xf>
    <xf numFmtId="164" fontId="28" fillId="0" borderId="0" xfId="42" applyNumberFormat="1" applyFont="1" applyBorder="1" applyAlignment="1">
      <alignment/>
    </xf>
    <xf numFmtId="0" fontId="29" fillId="0" borderId="0" xfId="0" applyFont="1" applyBorder="1" applyAlignment="1">
      <alignment/>
    </xf>
    <xf numFmtId="164" fontId="12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0" fillId="0" borderId="16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0" fillId="0" borderId="18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6" fillId="0" borderId="17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21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43" fontId="37" fillId="0" borderId="0" xfId="44" applyFont="1" applyFill="1" applyBorder="1" applyAlignment="1">
      <alignment horizontal="right"/>
    </xf>
    <xf numFmtId="164" fontId="32" fillId="0" borderId="19" xfId="44" applyNumberFormat="1" applyFont="1" applyFill="1" applyBorder="1" applyAlignment="1">
      <alignment/>
    </xf>
    <xf numFmtId="43" fontId="36" fillId="0" borderId="15" xfId="44" applyFont="1" applyFill="1" applyBorder="1" applyAlignment="1">
      <alignment/>
    </xf>
    <xf numFmtId="43" fontId="30" fillId="0" borderId="14" xfId="44" applyFont="1" applyFill="1" applyBorder="1" applyAlignment="1">
      <alignment/>
    </xf>
    <xf numFmtId="43" fontId="30" fillId="0" borderId="0" xfId="44" applyFont="1" applyFill="1" applyBorder="1" applyAlignment="1">
      <alignment/>
    </xf>
    <xf numFmtId="0" fontId="37" fillId="0" borderId="19" xfId="0" applyFont="1" applyFill="1" applyBorder="1" applyAlignment="1">
      <alignment horizontal="center"/>
    </xf>
    <xf numFmtId="43" fontId="37" fillId="0" borderId="15" xfId="44" applyFont="1" applyFill="1" applyBorder="1" applyAlignment="1">
      <alignment/>
    </xf>
    <xf numFmtId="43" fontId="37" fillId="0" borderId="14" xfId="44" applyFont="1" applyFill="1" applyBorder="1" applyAlignment="1">
      <alignment/>
    </xf>
    <xf numFmtId="43" fontId="37" fillId="0" borderId="0" xfId="44" applyFont="1" applyFill="1" applyBorder="1" applyAlignment="1">
      <alignment/>
    </xf>
    <xf numFmtId="0" fontId="36" fillId="0" borderId="0" xfId="0" applyFont="1" applyFill="1" applyBorder="1" applyAlignment="1">
      <alignment/>
    </xf>
    <xf numFmtId="43" fontId="36" fillId="0" borderId="0" xfId="44" applyFont="1" applyFill="1" applyBorder="1" applyAlignment="1">
      <alignment/>
    </xf>
    <xf numFmtId="43" fontId="36" fillId="0" borderId="0" xfId="44" applyFont="1" applyFill="1" applyBorder="1" applyAlignment="1">
      <alignment horizontal="right"/>
    </xf>
    <xf numFmtId="43" fontId="32" fillId="0" borderId="15" xfId="44" applyFont="1" applyFill="1" applyBorder="1" applyAlignment="1">
      <alignment/>
    </xf>
    <xf numFmtId="43" fontId="37" fillId="0" borderId="0" xfId="44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164" fontId="32" fillId="0" borderId="19" xfId="0" applyNumberFormat="1" applyFont="1" applyFill="1" applyBorder="1" applyAlignment="1">
      <alignment/>
    </xf>
    <xf numFmtId="0" fontId="37" fillId="0" borderId="15" xfId="0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49" fontId="37" fillId="0" borderId="0" xfId="0" applyNumberFormat="1" applyFont="1" applyFill="1" applyBorder="1" applyAlignment="1">
      <alignment/>
    </xf>
    <xf numFmtId="164" fontId="37" fillId="0" borderId="0" xfId="44" applyNumberFormat="1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left"/>
    </xf>
    <xf numFmtId="0" fontId="32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14" xfId="0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11" xfId="0" applyFont="1" applyFill="1" applyBorder="1" applyAlignment="1">
      <alignment horizontal="left"/>
    </xf>
    <xf numFmtId="0" fontId="30" fillId="0" borderId="20" xfId="0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43" fontId="37" fillId="0" borderId="12" xfId="44" applyFont="1" applyFill="1" applyBorder="1" applyAlignment="1">
      <alignment horizontal="right"/>
    </xf>
    <xf numFmtId="43" fontId="36" fillId="0" borderId="12" xfId="44" applyFont="1" applyFill="1" applyBorder="1" applyAlignment="1">
      <alignment horizontal="right"/>
    </xf>
    <xf numFmtId="43" fontId="37" fillId="0" borderId="13" xfId="44" applyFont="1" applyFill="1" applyBorder="1" applyAlignment="1">
      <alignment horizontal="right"/>
    </xf>
    <xf numFmtId="43" fontId="32" fillId="0" borderId="0" xfId="44" applyFont="1" applyFill="1" applyBorder="1" applyAlignment="1">
      <alignment/>
    </xf>
    <xf numFmtId="0" fontId="37" fillId="0" borderId="15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43" fontId="37" fillId="0" borderId="14" xfId="44" applyFont="1" applyFill="1" applyBorder="1" applyAlignment="1">
      <alignment horizontal="right"/>
    </xf>
    <xf numFmtId="43" fontId="36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43" fontId="36" fillId="0" borderId="0" xfId="44" applyFont="1" applyFill="1" applyBorder="1" applyAlignment="1">
      <alignment horizontal="center"/>
    </xf>
    <xf numFmtId="43" fontId="37" fillId="0" borderId="14" xfId="44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/>
    </xf>
    <xf numFmtId="164" fontId="36" fillId="0" borderId="0" xfId="44" applyNumberFormat="1" applyFont="1" applyFill="1" applyBorder="1" applyAlignment="1">
      <alignment/>
    </xf>
    <xf numFmtId="164" fontId="37" fillId="0" borderId="14" xfId="44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/>
    </xf>
    <xf numFmtId="10" fontId="36" fillId="0" borderId="11" xfId="0" applyNumberFormat="1" applyFont="1" applyFill="1" applyBorder="1" applyAlignment="1">
      <alignment/>
    </xf>
    <xf numFmtId="10" fontId="37" fillId="0" borderId="11" xfId="0" applyNumberFormat="1" applyFont="1" applyFill="1" applyBorder="1" applyAlignment="1">
      <alignment/>
    </xf>
    <xf numFmtId="10" fontId="37" fillId="0" borderId="20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43" fontId="37" fillId="0" borderId="11" xfId="44" applyFont="1" applyFill="1" applyBorder="1" applyAlignment="1">
      <alignment/>
    </xf>
    <xf numFmtId="43" fontId="36" fillId="0" borderId="11" xfId="44" applyFont="1" applyFill="1" applyBorder="1" applyAlignment="1">
      <alignment/>
    </xf>
    <xf numFmtId="43" fontId="37" fillId="0" borderId="20" xfId="44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43" fontId="30" fillId="0" borderId="13" xfId="44" applyFont="1" applyFill="1" applyBorder="1" applyAlignment="1">
      <alignment/>
    </xf>
    <xf numFmtId="0" fontId="30" fillId="0" borderId="15" xfId="0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\c\My%20Documents\MAL-MIS-06-07%20rsb\Monthly%20MIS%2006-07\MAL-Dec%20'06%20publish%20format%20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hd\d\oldata\mydocuments%20naveen%20old%20D\MAL\QTRLY-RSLT\Mukta-Mar'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 format"/>
      <sheetName val="MAL-P&amp;L"/>
      <sheetName val="P&amp;L-chart"/>
      <sheetName val="IND-EXP"/>
      <sheetName val="MMD-REALSN."/>
      <sheetName val="Provisions"/>
      <sheetName val="bs"/>
      <sheetName val="DPRN"/>
      <sheetName val="Allocation"/>
      <sheetName val="Film-Rlsn.-Adv"/>
      <sheetName val="Film-Summary"/>
      <sheetName val="K &amp; I"/>
      <sheetName val="Cycle Kick Cost"/>
      <sheetName val="B &amp; W Cost"/>
      <sheetName val="GBBB-cost"/>
      <sheetName val="ASMM-cost"/>
      <sheetName val="MMD-COMM"/>
      <sheetName val="Fund Flow"/>
      <sheetName val="def tax"/>
    </sheetNames>
    <sheetDataSet>
      <sheetData sheetId="0">
        <row r="13">
          <cell r="F13">
            <v>6699.256725899999</v>
          </cell>
        </row>
        <row r="14">
          <cell r="F14">
            <v>324.6698587</v>
          </cell>
          <cell r="O14">
            <v>6695.598328399999</v>
          </cell>
        </row>
        <row r="15">
          <cell r="O15">
            <v>3.6583975</v>
          </cell>
        </row>
        <row r="16">
          <cell r="O16">
            <v>324.6698587</v>
          </cell>
        </row>
        <row r="17">
          <cell r="F17">
            <v>6059.33921895</v>
          </cell>
        </row>
        <row r="18">
          <cell r="F18">
            <v>865.1392108999999</v>
          </cell>
          <cell r="O18">
            <v>41.82</v>
          </cell>
        </row>
        <row r="19">
          <cell r="O19">
            <v>6982.1065846</v>
          </cell>
        </row>
        <row r="21">
          <cell r="F21">
            <v>3.3799869</v>
          </cell>
        </row>
        <row r="22">
          <cell r="F22">
            <v>169.7326099403027</v>
          </cell>
        </row>
        <row r="24">
          <cell r="O24">
            <v>636.2591094499994</v>
          </cell>
        </row>
        <row r="25">
          <cell r="F25">
            <v>0</v>
          </cell>
          <cell r="O25">
            <v>-139.3070925767123</v>
          </cell>
        </row>
        <row r="26">
          <cell r="F26">
            <v>-18.824144943809504</v>
          </cell>
          <cell r="O26">
            <v>324.6698587</v>
          </cell>
        </row>
        <row r="27">
          <cell r="F27">
            <v>15.615</v>
          </cell>
        </row>
        <row r="29">
          <cell r="O29">
            <v>-3.3799869</v>
          </cell>
        </row>
        <row r="31">
          <cell r="O31">
            <v>-891.9063307635904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D13">
            <v>1237.03</v>
          </cell>
          <cell r="F13">
            <v>3998.83</v>
          </cell>
        </row>
        <row r="14">
          <cell r="D14">
            <v>96.86</v>
          </cell>
          <cell r="F14">
            <v>361.25</v>
          </cell>
          <cell r="N14">
            <v>1181.86</v>
          </cell>
          <cell r="P14">
            <v>3747.98</v>
          </cell>
        </row>
        <row r="15">
          <cell r="N15">
            <v>55.17</v>
          </cell>
          <cell r="P15">
            <v>250.85</v>
          </cell>
        </row>
        <row r="16">
          <cell r="N16">
            <v>96.86</v>
          </cell>
          <cell r="P16">
            <v>361.25</v>
          </cell>
        </row>
        <row r="17">
          <cell r="D17">
            <v>1058.51</v>
          </cell>
          <cell r="F17">
            <v>3568.4</v>
          </cell>
        </row>
        <row r="18">
          <cell r="D18">
            <v>174.53</v>
          </cell>
          <cell r="F18">
            <v>1063.21</v>
          </cell>
          <cell r="N18">
            <v>45.62</v>
          </cell>
          <cell r="P18">
            <v>126.7</v>
          </cell>
        </row>
        <row r="21">
          <cell r="D21">
            <v>3.79</v>
          </cell>
          <cell r="F21">
            <v>6.02</v>
          </cell>
        </row>
        <row r="22">
          <cell r="D22">
            <v>77.44</v>
          </cell>
          <cell r="F22">
            <v>299.77</v>
          </cell>
        </row>
        <row r="24">
          <cell r="N24">
            <v>136.18</v>
          </cell>
          <cell r="P24">
            <v>230.89</v>
          </cell>
        </row>
        <row r="25">
          <cell r="D25">
            <v>0</v>
          </cell>
          <cell r="F25">
            <v>0</v>
          </cell>
          <cell r="N25">
            <v>-48.83</v>
          </cell>
          <cell r="P25">
            <v>-98.05</v>
          </cell>
        </row>
        <row r="26">
          <cell r="D26">
            <v>-5.7</v>
          </cell>
          <cell r="F26">
            <v>-22.51</v>
          </cell>
          <cell r="N26">
            <v>96.86</v>
          </cell>
          <cell r="P26">
            <v>361.25</v>
          </cell>
        </row>
        <row r="27">
          <cell r="D27">
            <v>1.74</v>
          </cell>
          <cell r="F27">
            <v>9.75</v>
          </cell>
        </row>
        <row r="29">
          <cell r="F29">
            <v>1129.06</v>
          </cell>
          <cell r="N29">
            <v>-3.79</v>
          </cell>
          <cell r="P29">
            <v>-6.02</v>
          </cell>
        </row>
        <row r="31">
          <cell r="N31">
            <v>-160.8</v>
          </cell>
          <cell r="P31">
            <v>-1065.39</v>
          </cell>
        </row>
        <row r="32">
          <cell r="P32">
            <v>-577.3200000000002</v>
          </cell>
        </row>
        <row r="36">
          <cell r="P36">
            <v>2158.08</v>
          </cell>
        </row>
        <row r="37">
          <cell r="P37">
            <v>1694.48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35">
      <selection activeCell="B49" sqref="B49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16.140625" style="303" customWidth="1"/>
    <col min="4" max="4" width="16.28125" style="0" customWidth="1"/>
    <col min="5" max="5" width="17.7109375" style="0" customWidth="1"/>
    <col min="6" max="6" width="6.140625" style="0" customWidth="1"/>
    <col min="7" max="7" width="35.7109375" style="0" customWidth="1"/>
    <col min="8" max="8" width="15.7109375" style="303" customWidth="1"/>
    <col min="9" max="9" width="16.28125" style="0" customWidth="1"/>
    <col min="10" max="10" width="14.00390625" style="0" customWidth="1"/>
  </cols>
  <sheetData>
    <row r="1" spans="1:11" ht="13.5">
      <c r="A1" s="202"/>
      <c r="B1" s="201"/>
      <c r="C1" s="203"/>
      <c r="D1" s="201"/>
      <c r="E1" s="201"/>
      <c r="F1" s="201"/>
      <c r="G1" s="201"/>
      <c r="H1" s="203"/>
      <c r="I1" s="201"/>
      <c r="J1" s="201"/>
      <c r="K1" s="202"/>
    </row>
    <row r="2" spans="1:10" ht="18">
      <c r="A2" s="314" t="s">
        <v>735</v>
      </c>
      <c r="B2" s="315"/>
      <c r="C2" s="315"/>
      <c r="D2" s="315"/>
      <c r="E2" s="315"/>
      <c r="F2" s="249"/>
      <c r="G2" s="209"/>
      <c r="H2" s="210"/>
      <c r="I2" s="210"/>
      <c r="J2" s="249"/>
    </row>
    <row r="3" spans="1:10" ht="15">
      <c r="A3" s="316" t="s">
        <v>383</v>
      </c>
      <c r="B3" s="317"/>
      <c r="C3" s="317"/>
      <c r="D3" s="317"/>
      <c r="E3" s="317"/>
      <c r="F3" s="214"/>
      <c r="G3" s="215"/>
      <c r="H3" s="213"/>
      <c r="I3" s="213"/>
      <c r="J3" s="214"/>
    </row>
    <row r="4" spans="1:10" ht="13.5">
      <c r="A4" s="212"/>
      <c r="B4" s="201"/>
      <c r="C4" s="203"/>
      <c r="D4" s="201"/>
      <c r="E4" s="201"/>
      <c r="F4" s="214"/>
      <c r="G4" s="212"/>
      <c r="H4" s="203"/>
      <c r="I4" s="201"/>
      <c r="J4" s="214"/>
    </row>
    <row r="5" spans="1:10" ht="15">
      <c r="A5" s="316" t="s">
        <v>766</v>
      </c>
      <c r="B5" s="317"/>
      <c r="C5" s="317"/>
      <c r="D5" s="317"/>
      <c r="E5" s="317"/>
      <c r="F5" s="214"/>
      <c r="G5" s="318" t="s">
        <v>384</v>
      </c>
      <c r="H5" s="319"/>
      <c r="I5" s="319"/>
      <c r="J5" s="320"/>
    </row>
    <row r="6" spans="1:10" ht="12.75">
      <c r="A6" s="255"/>
      <c r="B6" s="256"/>
      <c r="C6" s="257"/>
      <c r="D6" s="256"/>
      <c r="E6" s="256"/>
      <c r="F6" s="258"/>
      <c r="G6" s="255"/>
      <c r="H6" s="257"/>
      <c r="I6" s="256"/>
      <c r="J6" s="258"/>
    </row>
    <row r="7" spans="1:10" ht="13.5">
      <c r="A7" s="259"/>
      <c r="B7" s="253"/>
      <c r="C7" s="260" t="s">
        <v>768</v>
      </c>
      <c r="D7" s="208"/>
      <c r="E7" s="208"/>
      <c r="F7" s="261"/>
      <c r="G7" s="216"/>
      <c r="H7" s="260" t="s">
        <v>772</v>
      </c>
      <c r="I7" s="208"/>
      <c r="J7" s="261"/>
    </row>
    <row r="8" spans="1:10" ht="14.25">
      <c r="A8" s="205"/>
      <c r="B8" s="206"/>
      <c r="C8" s="218"/>
      <c r="D8" s="262" t="s">
        <v>388</v>
      </c>
      <c r="E8" s="262" t="s">
        <v>736</v>
      </c>
      <c r="F8" s="262" t="s">
        <v>390</v>
      </c>
      <c r="G8" s="220" t="s">
        <v>152</v>
      </c>
      <c r="H8" s="218"/>
      <c r="I8" s="262" t="s">
        <v>388</v>
      </c>
      <c r="J8" s="262" t="s">
        <v>736</v>
      </c>
    </row>
    <row r="9" spans="1:10" ht="14.25">
      <c r="A9" s="263"/>
      <c r="B9" s="214"/>
      <c r="C9" s="221" t="s">
        <v>391</v>
      </c>
      <c r="D9" s="264" t="s">
        <v>392</v>
      </c>
      <c r="E9" s="231" t="s">
        <v>737</v>
      </c>
      <c r="F9" s="222"/>
      <c r="G9" s="216"/>
      <c r="H9" s="221" t="s">
        <v>391</v>
      </c>
      <c r="I9" s="264" t="s">
        <v>392</v>
      </c>
      <c r="J9" s="231" t="s">
        <v>737</v>
      </c>
    </row>
    <row r="10" spans="1:10" ht="14.25">
      <c r="A10" s="212"/>
      <c r="B10" s="214"/>
      <c r="C10" s="221" t="s">
        <v>396</v>
      </c>
      <c r="D10" s="264" t="s">
        <v>397</v>
      </c>
      <c r="E10" s="231" t="s">
        <v>738</v>
      </c>
      <c r="F10" s="246"/>
      <c r="G10" s="223"/>
      <c r="H10" s="221" t="s">
        <v>396</v>
      </c>
      <c r="I10" s="264" t="s">
        <v>397</v>
      </c>
      <c r="J10" s="231" t="s">
        <v>738</v>
      </c>
    </row>
    <row r="11" spans="1:10" ht="15">
      <c r="A11" s="263" t="s">
        <v>400</v>
      </c>
      <c r="B11" s="265" t="s">
        <v>153</v>
      </c>
      <c r="C11" s="266" t="s">
        <v>732</v>
      </c>
      <c r="D11" s="267" t="s">
        <v>368</v>
      </c>
      <c r="E11" s="268" t="s">
        <v>733</v>
      </c>
      <c r="F11" s="221"/>
      <c r="G11" s="223"/>
      <c r="H11" s="266" t="s">
        <v>732</v>
      </c>
      <c r="I11" s="267" t="s">
        <v>368</v>
      </c>
      <c r="J11" s="268" t="s">
        <v>733</v>
      </c>
    </row>
    <row r="12" spans="1:10" ht="14.25">
      <c r="A12" s="207"/>
      <c r="B12" s="261"/>
      <c r="C12" s="224" t="s">
        <v>402</v>
      </c>
      <c r="D12" s="269" t="s">
        <v>402</v>
      </c>
      <c r="E12" s="269" t="s">
        <v>403</v>
      </c>
      <c r="F12" s="222"/>
      <c r="G12" s="212"/>
      <c r="H12" s="224" t="s">
        <v>402</v>
      </c>
      <c r="I12" s="269" t="s">
        <v>402</v>
      </c>
      <c r="J12" s="269" t="s">
        <v>403</v>
      </c>
    </row>
    <row r="13" spans="1:10" ht="14.25">
      <c r="A13" s="270">
        <v>1</v>
      </c>
      <c r="B13" s="271" t="s">
        <v>404</v>
      </c>
      <c r="C13" s="273">
        <v>1603.5381994</v>
      </c>
      <c r="D13" s="272">
        <v>2090.45</v>
      </c>
      <c r="E13" s="274">
        <v>11067.28</v>
      </c>
      <c r="F13" s="227">
        <v>1</v>
      </c>
      <c r="G13" s="228" t="s">
        <v>405</v>
      </c>
      <c r="H13" s="275"/>
      <c r="I13" s="230"/>
      <c r="J13" s="214"/>
    </row>
    <row r="14" spans="1:10" ht="14.25">
      <c r="A14" s="276">
        <v>2</v>
      </c>
      <c r="B14" s="225" t="s">
        <v>154</v>
      </c>
      <c r="C14" s="237">
        <v>59.97435051835617</v>
      </c>
      <c r="D14" s="226">
        <v>96.34</v>
      </c>
      <c r="E14" s="233">
        <v>249.32</v>
      </c>
      <c r="F14" s="227"/>
      <c r="G14" s="232" t="s">
        <v>406</v>
      </c>
      <c r="H14" s="236">
        <v>1572.2961619</v>
      </c>
      <c r="I14" s="234">
        <v>2022.77</v>
      </c>
      <c r="J14" s="233">
        <v>10946.6</v>
      </c>
    </row>
    <row r="15" spans="1:10" ht="14.25">
      <c r="A15" s="277">
        <v>3</v>
      </c>
      <c r="B15" s="235" t="s">
        <v>739</v>
      </c>
      <c r="C15" s="236">
        <v>1663.5125499183562</v>
      </c>
      <c r="D15" s="234">
        <v>2186.79</v>
      </c>
      <c r="E15" s="234">
        <v>11316.6</v>
      </c>
      <c r="F15" s="227"/>
      <c r="G15" s="232" t="s">
        <v>408</v>
      </c>
      <c r="H15" s="236">
        <v>31.2420375</v>
      </c>
      <c r="I15" s="234">
        <v>67.68</v>
      </c>
      <c r="J15" s="233">
        <v>120.69</v>
      </c>
    </row>
    <row r="16" spans="1:10" ht="14.25">
      <c r="A16" s="276">
        <v>4</v>
      </c>
      <c r="B16" s="225" t="s">
        <v>740</v>
      </c>
      <c r="C16" s="237"/>
      <c r="D16" s="226"/>
      <c r="E16" s="233"/>
      <c r="F16" s="227"/>
      <c r="G16" s="232" t="s">
        <v>166</v>
      </c>
      <c r="H16" s="236">
        <v>59.97435051835617</v>
      </c>
      <c r="I16" s="234">
        <v>96.34</v>
      </c>
      <c r="J16" s="233">
        <v>249.32</v>
      </c>
    </row>
    <row r="17" spans="1:10" ht="14.25">
      <c r="A17" s="242"/>
      <c r="B17" s="225" t="s">
        <v>773</v>
      </c>
      <c r="C17" s="237">
        <v>1472.2981823105001</v>
      </c>
      <c r="D17" s="226">
        <v>1861.12</v>
      </c>
      <c r="E17" s="278">
        <v>8866.6</v>
      </c>
      <c r="F17" s="227"/>
      <c r="G17" s="232" t="s">
        <v>155</v>
      </c>
      <c r="H17" s="236">
        <v>1663.5125499183562</v>
      </c>
      <c r="I17" s="234">
        <v>2186.79</v>
      </c>
      <c r="J17" s="233">
        <v>11316.61</v>
      </c>
    </row>
    <row r="18" spans="1:10" ht="14.25">
      <c r="A18" s="242"/>
      <c r="B18" s="225" t="s">
        <v>741</v>
      </c>
      <c r="C18" s="237">
        <v>103.87952</v>
      </c>
      <c r="D18" s="226">
        <v>78.28</v>
      </c>
      <c r="E18" s="278">
        <v>345.18</v>
      </c>
      <c r="F18" s="227"/>
      <c r="G18" s="232" t="s">
        <v>412</v>
      </c>
      <c r="H18" s="236">
        <v>0</v>
      </c>
      <c r="I18" s="234">
        <v>15.03</v>
      </c>
      <c r="J18" s="233">
        <v>59.63</v>
      </c>
    </row>
    <row r="19" spans="1:10" ht="14.25">
      <c r="A19" s="242"/>
      <c r="B19" s="225" t="s">
        <v>742</v>
      </c>
      <c r="C19" s="237">
        <v>43.05209</v>
      </c>
      <c r="D19" s="226">
        <v>40.75</v>
      </c>
      <c r="E19" s="278">
        <v>176.37</v>
      </c>
      <c r="F19" s="227"/>
      <c r="G19" s="232" t="s">
        <v>414</v>
      </c>
      <c r="H19" s="236">
        <v>1663.5125499183562</v>
      </c>
      <c r="I19" s="234">
        <v>2171.7599999999998</v>
      </c>
      <c r="J19" s="233">
        <v>11256.98</v>
      </c>
    </row>
    <row r="20" spans="1:10" ht="14.25">
      <c r="A20" s="276"/>
      <c r="B20" s="225" t="s">
        <v>743</v>
      </c>
      <c r="C20" s="237">
        <v>114.48323409999999</v>
      </c>
      <c r="D20" s="226">
        <v>102.27000000000001</v>
      </c>
      <c r="E20" s="278">
        <v>440.75</v>
      </c>
      <c r="F20" s="227"/>
      <c r="G20" s="232"/>
      <c r="H20" s="236"/>
      <c r="I20" s="234"/>
      <c r="J20" s="233"/>
    </row>
    <row r="21" spans="1:10" ht="14.25">
      <c r="A21" s="276"/>
      <c r="B21" s="235" t="s">
        <v>744</v>
      </c>
      <c r="C21" s="237">
        <v>1733.7130264104999</v>
      </c>
      <c r="D21" s="226">
        <v>2082.42</v>
      </c>
      <c r="E21" s="237">
        <f>SUM(E17:E20)</f>
        <v>9828.900000000001</v>
      </c>
      <c r="F21" s="280"/>
      <c r="G21" s="238"/>
      <c r="H21" s="236"/>
      <c r="I21" s="234"/>
      <c r="J21" s="233"/>
    </row>
    <row r="22" spans="1:10" ht="14.25">
      <c r="A22" s="276">
        <v>5</v>
      </c>
      <c r="B22" s="225" t="s">
        <v>745</v>
      </c>
      <c r="C22" s="237">
        <v>0.2795649</v>
      </c>
      <c r="D22" s="226">
        <v>1.67</v>
      </c>
      <c r="E22" s="278">
        <v>4.33</v>
      </c>
      <c r="F22" s="227">
        <v>2</v>
      </c>
      <c r="G22" s="228" t="s">
        <v>416</v>
      </c>
      <c r="H22" s="236"/>
      <c r="I22" s="234"/>
      <c r="J22" s="233"/>
    </row>
    <row r="23" spans="1:10" ht="14.25">
      <c r="A23" s="276">
        <v>6</v>
      </c>
      <c r="B23" s="225" t="s">
        <v>746</v>
      </c>
      <c r="C23" s="237">
        <v>0</v>
      </c>
      <c r="D23" s="226">
        <v>0</v>
      </c>
      <c r="E23" s="278">
        <v>0</v>
      </c>
      <c r="F23" s="227"/>
      <c r="G23" s="232" t="s">
        <v>417</v>
      </c>
      <c r="H23" s="236"/>
      <c r="I23" s="234"/>
      <c r="J23" s="233"/>
    </row>
    <row r="24" spans="1:10" ht="14.25">
      <c r="A24" s="277">
        <v>7</v>
      </c>
      <c r="B24" s="235" t="s">
        <v>747</v>
      </c>
      <c r="C24" s="237">
        <v>-70.4800413921437</v>
      </c>
      <c r="D24" s="226">
        <v>102.69999999999989</v>
      </c>
      <c r="E24" s="226">
        <v>1483.37</v>
      </c>
      <c r="F24" s="227"/>
      <c r="G24" s="232" t="s">
        <v>419</v>
      </c>
      <c r="H24" s="236"/>
      <c r="I24" s="234"/>
      <c r="J24" s="233"/>
    </row>
    <row r="25" spans="1:10" ht="14.25">
      <c r="A25" s="276">
        <v>8</v>
      </c>
      <c r="B25" s="225" t="s">
        <v>748</v>
      </c>
      <c r="C25" s="237"/>
      <c r="D25" s="226"/>
      <c r="E25" s="278"/>
      <c r="F25" s="227"/>
      <c r="G25" s="232" t="s">
        <v>406</v>
      </c>
      <c r="H25" s="236">
        <v>99.99797958949989</v>
      </c>
      <c r="I25" s="234">
        <v>161.64</v>
      </c>
      <c r="J25" s="233">
        <v>2080</v>
      </c>
    </row>
    <row r="26" spans="1:10" ht="14.25">
      <c r="A26" s="276"/>
      <c r="B26" s="225" t="s">
        <v>749</v>
      </c>
      <c r="C26" s="237">
        <v>0</v>
      </c>
      <c r="D26" s="226">
        <v>0</v>
      </c>
      <c r="E26" s="278">
        <v>121.81</v>
      </c>
      <c r="F26" s="227"/>
      <c r="G26" s="232" t="s">
        <v>408</v>
      </c>
      <c r="H26" s="236">
        <v>-4.8440496</v>
      </c>
      <c r="I26" s="234">
        <v>34.44</v>
      </c>
      <c r="J26" s="233">
        <v>-19.85</v>
      </c>
    </row>
    <row r="27" spans="1:10" ht="14.25">
      <c r="A27" s="276"/>
      <c r="B27" s="225" t="s">
        <v>750</v>
      </c>
      <c r="C27" s="237">
        <v>-0.22168</v>
      </c>
      <c r="D27" s="226">
        <v>-0.08</v>
      </c>
      <c r="E27" s="278">
        <v>2.93</v>
      </c>
      <c r="F27" s="227"/>
      <c r="G27" s="232" t="s">
        <v>166</v>
      </c>
      <c r="H27" s="236">
        <v>59.97435051835617</v>
      </c>
      <c r="I27" s="234">
        <v>96.34</v>
      </c>
      <c r="J27" s="233">
        <f>+J16</f>
        <v>249.32</v>
      </c>
    </row>
    <row r="28" spans="1:10" ht="14.25">
      <c r="A28" s="276"/>
      <c r="B28" s="225" t="s">
        <v>751</v>
      </c>
      <c r="C28" s="237">
        <v>1.15</v>
      </c>
      <c r="D28" s="226">
        <v>1.4</v>
      </c>
      <c r="E28" s="278">
        <v>55.65</v>
      </c>
      <c r="F28" s="227"/>
      <c r="G28" s="232" t="s">
        <v>155</v>
      </c>
      <c r="H28" s="236">
        <v>155.12828050785606</v>
      </c>
      <c r="I28" s="234">
        <v>292.41999999999996</v>
      </c>
      <c r="J28" s="233">
        <v>2309.47</v>
      </c>
    </row>
    <row r="29" spans="1:10" ht="14.25">
      <c r="A29" s="277">
        <v>9</v>
      </c>
      <c r="B29" s="235" t="s">
        <v>752</v>
      </c>
      <c r="C29" s="237">
        <v>-71.4083613921437</v>
      </c>
      <c r="D29" s="226">
        <v>101.37999999999988</v>
      </c>
      <c r="E29" s="226">
        <v>1302.98</v>
      </c>
      <c r="F29" s="227"/>
      <c r="G29" s="212"/>
      <c r="H29" s="203"/>
      <c r="I29" s="201"/>
      <c r="J29" s="214"/>
    </row>
    <row r="30" spans="1:10" ht="14.25">
      <c r="A30" s="276">
        <v>10</v>
      </c>
      <c r="B30" s="225" t="s">
        <v>753</v>
      </c>
      <c r="C30" s="237">
        <v>0</v>
      </c>
      <c r="D30" s="226">
        <v>0</v>
      </c>
      <c r="E30" s="278">
        <v>0</v>
      </c>
      <c r="F30" s="227"/>
      <c r="G30" s="232" t="s">
        <v>769</v>
      </c>
      <c r="H30" s="236">
        <v>0.2795649</v>
      </c>
      <c r="I30" s="234">
        <v>1.67</v>
      </c>
      <c r="J30" s="233">
        <v>4.33</v>
      </c>
    </row>
    <row r="31" spans="1:10" ht="14.25">
      <c r="A31" s="276">
        <v>11</v>
      </c>
      <c r="B31" s="235" t="s">
        <v>754</v>
      </c>
      <c r="C31" s="237">
        <v>-71.4083613921437</v>
      </c>
      <c r="D31" s="226">
        <v>101.37999999999988</v>
      </c>
      <c r="E31" s="226">
        <v>1302.98</v>
      </c>
      <c r="F31" s="227"/>
      <c r="G31" s="232" t="s">
        <v>770</v>
      </c>
      <c r="H31" s="236"/>
      <c r="I31" s="234"/>
      <c r="J31" s="233"/>
    </row>
    <row r="32" spans="1:10" ht="14.25">
      <c r="A32" s="276">
        <v>12</v>
      </c>
      <c r="B32" s="225" t="s">
        <v>755</v>
      </c>
      <c r="C32" s="237">
        <v>1129.06</v>
      </c>
      <c r="D32" s="226">
        <v>1129.06</v>
      </c>
      <c r="E32" s="278">
        <v>1129.06</v>
      </c>
      <c r="F32" s="227"/>
      <c r="G32" s="232" t="s">
        <v>771</v>
      </c>
      <c r="H32" s="236">
        <v>225.32875699999997</v>
      </c>
      <c r="I32" s="234">
        <v>188.05</v>
      </c>
      <c r="J32" s="233">
        <v>821.76</v>
      </c>
    </row>
    <row r="33" spans="1:10" ht="14.25">
      <c r="A33" s="276">
        <v>13</v>
      </c>
      <c r="B33" s="225" t="s">
        <v>756</v>
      </c>
      <c r="C33" s="237"/>
      <c r="D33" s="226"/>
      <c r="E33" s="278"/>
      <c r="F33" s="227"/>
      <c r="G33" s="232" t="s">
        <v>430</v>
      </c>
      <c r="H33" s="236">
        <v>-70.4800413921439</v>
      </c>
      <c r="I33" s="234">
        <v>102.69999999999993</v>
      </c>
      <c r="J33" s="233">
        <v>1483.38</v>
      </c>
    </row>
    <row r="34" spans="1:10" ht="14.25">
      <c r="A34" s="276"/>
      <c r="B34" s="225" t="s">
        <v>757</v>
      </c>
      <c r="C34" s="236">
        <v>0</v>
      </c>
      <c r="D34" s="234">
        <v>0</v>
      </c>
      <c r="E34" s="233">
        <v>11508.51</v>
      </c>
      <c r="F34" s="227"/>
      <c r="G34" s="232"/>
      <c r="H34" s="236"/>
      <c r="I34" s="234"/>
      <c r="J34" s="233"/>
    </row>
    <row r="35" spans="1:10" ht="14.25">
      <c r="A35" s="276">
        <v>14</v>
      </c>
      <c r="B35" s="225" t="s">
        <v>758</v>
      </c>
      <c r="C35" s="236"/>
      <c r="D35" s="234"/>
      <c r="E35" s="233"/>
      <c r="F35" s="241"/>
      <c r="G35" s="232"/>
      <c r="H35" s="236"/>
      <c r="I35" s="234"/>
      <c r="J35" s="233"/>
    </row>
    <row r="36" spans="1:10" ht="14.25">
      <c r="A36" s="242"/>
      <c r="B36" s="225" t="s">
        <v>759</v>
      </c>
      <c r="C36" s="281">
        <v>0</v>
      </c>
      <c r="D36" s="239">
        <v>0.4489575399004477</v>
      </c>
      <c r="E36" s="282">
        <v>5.77</v>
      </c>
      <c r="F36" s="246"/>
      <c r="G36" s="212"/>
      <c r="H36" s="279"/>
      <c r="I36" s="225"/>
      <c r="J36" s="240"/>
    </row>
    <row r="37" spans="1:10" ht="14.25">
      <c r="A37" s="242"/>
      <c r="B37" s="225" t="s">
        <v>760</v>
      </c>
      <c r="C37" s="281">
        <v>0</v>
      </c>
      <c r="D37" s="239">
        <v>0.4489575399004477</v>
      </c>
      <c r="E37" s="282">
        <v>5.77</v>
      </c>
      <c r="F37" s="246">
        <v>3</v>
      </c>
      <c r="G37" s="228" t="s">
        <v>433</v>
      </c>
      <c r="H37" s="236"/>
      <c r="I37" s="234"/>
      <c r="J37" s="233"/>
    </row>
    <row r="38" spans="1:10" ht="14.25">
      <c r="A38" s="276">
        <v>15</v>
      </c>
      <c r="B38" s="225" t="s">
        <v>761</v>
      </c>
      <c r="C38" s="236"/>
      <c r="D38" s="234"/>
      <c r="E38" s="233"/>
      <c r="F38" s="246"/>
      <c r="G38" s="242" t="s">
        <v>762</v>
      </c>
      <c r="H38" s="243"/>
      <c r="I38" s="283"/>
      <c r="J38" s="233"/>
    </row>
    <row r="39" spans="1:10" ht="14.25">
      <c r="A39" s="204"/>
      <c r="B39" s="244" t="s">
        <v>763</v>
      </c>
      <c r="C39" s="284">
        <v>6716910</v>
      </c>
      <c r="D39" s="245">
        <v>6716910</v>
      </c>
      <c r="E39" s="285">
        <v>6716910</v>
      </c>
      <c r="F39" s="246"/>
      <c r="G39" s="242" t="s">
        <v>406</v>
      </c>
      <c r="H39" s="236">
        <v>5495.341537674162</v>
      </c>
      <c r="I39" s="234">
        <v>5337.9</v>
      </c>
      <c r="J39" s="233">
        <v>5107.4</v>
      </c>
    </row>
    <row r="40" spans="1:10" ht="14.25">
      <c r="A40" s="286"/>
      <c r="B40" s="287" t="s">
        <v>764</v>
      </c>
      <c r="C40" s="288">
        <v>0.2975</v>
      </c>
      <c r="D40" s="289">
        <v>0.2975</v>
      </c>
      <c r="E40" s="290">
        <v>0.2975</v>
      </c>
      <c r="F40" s="291"/>
      <c r="G40" s="292" t="s">
        <v>408</v>
      </c>
      <c r="H40" s="294">
        <v>1539.548239810118</v>
      </c>
      <c r="I40" s="293">
        <v>1508.46</v>
      </c>
      <c r="J40" s="295">
        <v>1514.87</v>
      </c>
    </row>
    <row r="41" spans="1:10" ht="13.5">
      <c r="A41" s="219"/>
      <c r="B41" s="296" t="s">
        <v>438</v>
      </c>
      <c r="C41" s="248"/>
      <c r="D41" s="248"/>
      <c r="E41" s="248"/>
      <c r="F41" s="211"/>
      <c r="G41" s="211"/>
      <c r="H41" s="248"/>
      <c r="I41" s="247"/>
      <c r="J41" s="297"/>
    </row>
    <row r="42" spans="1:11" ht="13.5">
      <c r="A42" s="298" t="s">
        <v>439</v>
      </c>
      <c r="B42" s="201" t="s">
        <v>767</v>
      </c>
      <c r="C42" s="203"/>
      <c r="D42" s="203"/>
      <c r="E42" s="203"/>
      <c r="F42" s="212"/>
      <c r="G42" s="212"/>
      <c r="H42" s="299"/>
      <c r="I42" s="299"/>
      <c r="J42" s="299"/>
      <c r="K42" s="255"/>
    </row>
    <row r="43" spans="1:10" ht="13.5">
      <c r="A43" s="298" t="s">
        <v>440</v>
      </c>
      <c r="B43" s="201" t="s">
        <v>484</v>
      </c>
      <c r="C43" s="203"/>
      <c r="D43" s="203"/>
      <c r="E43" s="203"/>
      <c r="F43" s="212"/>
      <c r="G43" s="212"/>
      <c r="H43" s="308"/>
      <c r="I43" s="308"/>
      <c r="J43" s="309"/>
    </row>
    <row r="44" spans="1:10" ht="13.5">
      <c r="A44" s="298"/>
      <c r="B44" s="201" t="s">
        <v>774</v>
      </c>
      <c r="C44" s="203"/>
      <c r="D44" s="203"/>
      <c r="E44" s="203"/>
      <c r="F44" s="212"/>
      <c r="G44" s="212"/>
      <c r="H44" s="321" t="s">
        <v>730</v>
      </c>
      <c r="I44" s="321"/>
      <c r="J44" s="322"/>
    </row>
    <row r="45" spans="1:10" ht="13.5">
      <c r="A45" s="298" t="s">
        <v>441</v>
      </c>
      <c r="B45" s="201" t="s">
        <v>731</v>
      </c>
      <c r="C45" s="203"/>
      <c r="D45" s="203"/>
      <c r="E45" s="203"/>
      <c r="F45" s="212"/>
      <c r="G45" s="212"/>
      <c r="H45" s="308" t="s">
        <v>765</v>
      </c>
      <c r="I45" s="308"/>
      <c r="J45" s="309"/>
    </row>
    <row r="46" spans="1:10" ht="13.5">
      <c r="A46" s="298" t="s">
        <v>734</v>
      </c>
      <c r="B46" s="300" t="s">
        <v>776</v>
      </c>
      <c r="C46" s="203"/>
      <c r="D46" s="203"/>
      <c r="E46" s="203"/>
      <c r="F46" s="212"/>
      <c r="G46" s="212"/>
      <c r="H46" s="203"/>
      <c r="I46" s="201"/>
      <c r="J46" s="229"/>
    </row>
    <row r="47" spans="1:10" ht="13.5">
      <c r="A47" s="298" t="s">
        <v>729</v>
      </c>
      <c r="B47" s="300" t="s">
        <v>777</v>
      </c>
      <c r="C47" s="203"/>
      <c r="D47" s="203"/>
      <c r="E47" s="203"/>
      <c r="F47" s="212"/>
      <c r="G47" s="212"/>
      <c r="H47" s="203"/>
      <c r="I47" s="201"/>
      <c r="J47" s="229"/>
    </row>
    <row r="48" spans="1:10" ht="13.5">
      <c r="A48" s="212"/>
      <c r="B48" s="201"/>
      <c r="C48" s="203"/>
      <c r="D48" s="201"/>
      <c r="E48" s="250"/>
      <c r="F48" s="212"/>
      <c r="G48" s="212"/>
      <c r="H48" s="203"/>
      <c r="I48" s="201"/>
      <c r="J48" s="301"/>
    </row>
    <row r="49" spans="1:10" ht="13.5">
      <c r="A49" s="251" t="s">
        <v>442</v>
      </c>
      <c r="B49" s="203" t="s">
        <v>775</v>
      </c>
      <c r="C49" s="203"/>
      <c r="D49" s="201"/>
      <c r="E49" s="302"/>
      <c r="F49" s="212"/>
      <c r="G49" s="212"/>
      <c r="H49" s="310" t="s">
        <v>443</v>
      </c>
      <c r="I49" s="310"/>
      <c r="J49" s="311"/>
    </row>
    <row r="50" spans="1:10" ht="13.5">
      <c r="A50" s="252" t="s">
        <v>444</v>
      </c>
      <c r="B50" s="253" t="s">
        <v>445</v>
      </c>
      <c r="C50" s="253"/>
      <c r="D50" s="217"/>
      <c r="E50" s="254"/>
      <c r="F50" s="216"/>
      <c r="G50" s="216"/>
      <c r="H50" s="312" t="s">
        <v>446</v>
      </c>
      <c r="I50" s="312"/>
      <c r="J50" s="313"/>
    </row>
  </sheetData>
  <sheetProtection/>
  <mergeCells count="9">
    <mergeCell ref="H45:J45"/>
    <mergeCell ref="H49:J49"/>
    <mergeCell ref="H50:J50"/>
    <mergeCell ref="A2:E2"/>
    <mergeCell ref="A3:E3"/>
    <mergeCell ref="A5:E5"/>
    <mergeCell ref="G5:J5"/>
    <mergeCell ref="H43:J43"/>
    <mergeCell ref="H44:J44"/>
  </mergeCells>
  <printOptions gridLines="1"/>
  <pageMargins left="0.28" right="0.16" top="0.49" bottom="0.64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.8515625" style="23" customWidth="1"/>
    <col min="2" max="2" width="34.140625" style="23" customWidth="1"/>
    <col min="3" max="3" width="21.8515625" style="24" customWidth="1"/>
    <col min="4" max="4" width="2.7109375" style="24" customWidth="1"/>
    <col min="5" max="5" width="21.8515625" style="24" customWidth="1"/>
    <col min="6" max="16384" width="9.140625" style="23" customWidth="1"/>
  </cols>
  <sheetData>
    <row r="1" spans="1:5" ht="15">
      <c r="A1" s="324" t="s">
        <v>160</v>
      </c>
      <c r="B1" s="324"/>
      <c r="C1" s="324"/>
      <c r="D1" s="324"/>
      <c r="E1" s="324"/>
    </row>
    <row r="2" spans="1:5" ht="15">
      <c r="A2" s="323" t="s">
        <v>373</v>
      </c>
      <c r="B2" s="323"/>
      <c r="C2" s="323"/>
      <c r="D2" s="323"/>
      <c r="E2" s="323"/>
    </row>
    <row r="3" spans="1:5" ht="15">
      <c r="A3" s="11"/>
      <c r="B3" s="11"/>
      <c r="C3" s="35"/>
      <c r="D3" s="35"/>
      <c r="E3" s="35"/>
    </row>
    <row r="4" spans="2:5" ht="15">
      <c r="B4" s="22"/>
      <c r="C4" s="36" t="s">
        <v>159</v>
      </c>
      <c r="D4" s="36"/>
      <c r="E4" s="36" t="s">
        <v>165</v>
      </c>
    </row>
    <row r="5" spans="2:5" ht="15">
      <c r="B5" s="23" t="s">
        <v>161</v>
      </c>
      <c r="C5" s="24">
        <v>1200000</v>
      </c>
      <c r="E5" s="24">
        <f>'Cycle Kick Cost'!G41</f>
        <v>774500</v>
      </c>
    </row>
    <row r="6" spans="2:5" ht="15">
      <c r="B6" s="23" t="s">
        <v>164</v>
      </c>
      <c r="C6" s="37">
        <v>2000000</v>
      </c>
      <c r="E6" s="24">
        <f>'Cycle Kick Cost'!G48</f>
        <v>500000</v>
      </c>
    </row>
    <row r="7" spans="2:5" ht="15">
      <c r="B7" s="23" t="s">
        <v>162</v>
      </c>
      <c r="C7" s="24">
        <f>200000+387000+640000+1468500</f>
        <v>2695500</v>
      </c>
      <c r="E7" s="24">
        <f>'Cycle Kick Cost'!G121</f>
        <v>1607150</v>
      </c>
    </row>
    <row r="8" spans="2:5" ht="15">
      <c r="B8" s="23" t="s">
        <v>163</v>
      </c>
      <c r="C8" s="24">
        <f>250000+90000+150000+1356000+1378200+350000+261600+300000+529000+987000+850000+621250+175565+268750+201943</f>
        <v>7769308</v>
      </c>
      <c r="E8" s="24">
        <f>'Cycle Kick Cost'!G163+'Cycle Kick Cost'!G169+'Cycle Kick Cost'!G189+'Cycle Kick Cost'!G193</f>
        <v>9273844.17</v>
      </c>
    </row>
    <row r="9" spans="2:5" ht="15" thickBot="1">
      <c r="B9" s="38" t="s">
        <v>158</v>
      </c>
      <c r="C9" s="39">
        <f>SUM(C5:C8)</f>
        <v>13664808</v>
      </c>
      <c r="E9" s="39">
        <f>SUM(E5:E8)</f>
        <v>12155494.17</v>
      </c>
    </row>
    <row r="10" ht="15" thickTop="1"/>
    <row r="11" spans="1:5" ht="15">
      <c r="A11" s="323" t="s">
        <v>374</v>
      </c>
      <c r="B11" s="323"/>
      <c r="C11" s="323"/>
      <c r="D11" s="323"/>
      <c r="E11" s="323"/>
    </row>
    <row r="12" spans="1:5" ht="15">
      <c r="A12" s="11"/>
      <c r="B12" s="11"/>
      <c r="C12" s="35"/>
      <c r="D12" s="35"/>
      <c r="E12" s="35"/>
    </row>
    <row r="13" spans="2:5" ht="15">
      <c r="B13" s="22"/>
      <c r="C13" s="36" t="s">
        <v>159</v>
      </c>
      <c r="D13" s="36"/>
      <c r="E13" s="36" t="s">
        <v>165</v>
      </c>
    </row>
    <row r="14" spans="2:5" ht="15">
      <c r="B14" s="23" t="s">
        <v>711</v>
      </c>
      <c r="C14" s="24">
        <f>'B &amp; W Cost'!C61</f>
        <v>3500000</v>
      </c>
      <c r="E14" s="24">
        <f>'B &amp; W Cost'!G61</f>
        <v>10334500</v>
      </c>
    </row>
    <row r="15" spans="2:5" ht="15">
      <c r="B15" s="23" t="s">
        <v>164</v>
      </c>
      <c r="C15" s="25">
        <f>'B &amp; W Cost'!C73</f>
        <v>4000000</v>
      </c>
      <c r="E15" s="24">
        <f>'B &amp; W Cost'!G73</f>
        <v>1448934</v>
      </c>
    </row>
    <row r="16" spans="2:5" ht="15">
      <c r="B16" s="23" t="s">
        <v>162</v>
      </c>
      <c r="C16" s="24">
        <f>'B &amp; W Cost'!C185</f>
        <v>7094000</v>
      </c>
      <c r="E16" s="24">
        <f>'B &amp; W Cost'!G185</f>
        <v>6351182</v>
      </c>
    </row>
    <row r="17" spans="2:5" ht="15">
      <c r="B17" s="23" t="s">
        <v>163</v>
      </c>
      <c r="C17" s="24">
        <f>'B &amp; W Cost'!C229+'B &amp; W Cost'!C257</f>
        <v>34734995</v>
      </c>
      <c r="E17" s="24">
        <f>'B &amp; W Cost'!G229+'B &amp; W Cost'!G235+'B &amp; W Cost'!G257+'B &amp; W Cost'!G262</f>
        <v>21653901.21</v>
      </c>
    </row>
    <row r="18" spans="2:5" ht="15" thickBot="1">
      <c r="B18" s="38" t="s">
        <v>158</v>
      </c>
      <c r="C18" s="39">
        <f>SUM(C14:C17)</f>
        <v>49328995</v>
      </c>
      <c r="E18" s="39">
        <f>SUM(E14:E17)</f>
        <v>39788517.21</v>
      </c>
    </row>
    <row r="19" spans="2:5" ht="15" thickTop="1">
      <c r="B19" s="38"/>
      <c r="C19" s="40"/>
      <c r="E19" s="40"/>
    </row>
    <row r="20" spans="1:5" ht="15">
      <c r="A20" s="323" t="s">
        <v>371</v>
      </c>
      <c r="B20" s="323"/>
      <c r="C20" s="323"/>
      <c r="D20" s="323"/>
      <c r="E20" s="323"/>
    </row>
    <row r="21" spans="1:5" ht="15">
      <c r="A21" s="11"/>
      <c r="B21" s="11"/>
      <c r="C21" s="35"/>
      <c r="D21" s="35"/>
      <c r="E21" s="35"/>
    </row>
    <row r="22" spans="2:5" ht="15">
      <c r="B22" s="22"/>
      <c r="C22" s="36" t="s">
        <v>159</v>
      </c>
      <c r="D22" s="36"/>
      <c r="E22" s="36" t="s">
        <v>165</v>
      </c>
    </row>
    <row r="23" spans="2:5" ht="15">
      <c r="B23" s="23" t="s">
        <v>161</v>
      </c>
      <c r="C23" s="24">
        <f>'GBBB-cost'!D63+'GBBB-cost'!D12</f>
        <v>13207000</v>
      </c>
      <c r="E23" s="24">
        <f>'GBBB-cost'!H12+'GBBB-cost'!H63</f>
        <v>13372700</v>
      </c>
    </row>
    <row r="24" spans="2:5" ht="15">
      <c r="B24" s="23" t="s">
        <v>164</v>
      </c>
      <c r="C24" s="25">
        <f>'GBBB-cost'!D174+'GBBB-cost'!D172</f>
        <v>3000000</v>
      </c>
      <c r="E24" s="24">
        <f>'GBBB-cost'!H174</f>
        <v>1904451</v>
      </c>
    </row>
    <row r="25" spans="2:5" ht="15">
      <c r="B25" s="23" t="s">
        <v>162</v>
      </c>
      <c r="C25" s="24">
        <f>'GBBB-cost'!D165</f>
        <v>7944000</v>
      </c>
      <c r="E25" s="24">
        <f>'GBBB-cost'!H165</f>
        <v>11769172</v>
      </c>
    </row>
    <row r="26" spans="2:5" ht="15">
      <c r="B26" s="23" t="s">
        <v>163</v>
      </c>
      <c r="C26" s="24">
        <f>'GBBB-cost'!D247+'GBBB-cost'!D259+'GBBB-cost'!D264+'GBBB-cost'!D266</f>
        <v>20379435</v>
      </c>
      <c r="E26" s="24">
        <f>'GBBB-cost'!H266+'GBBB-cost'!H264+'GBBB-cost'!H259+'GBBB-cost'!H247</f>
        <v>39892744.37</v>
      </c>
    </row>
    <row r="27" spans="2:5" ht="15" thickBot="1">
      <c r="B27" s="38" t="s">
        <v>158</v>
      </c>
      <c r="C27" s="39">
        <f>SUM(C23:C26)</f>
        <v>44530435</v>
      </c>
      <c r="E27" s="39">
        <f>SUM(E23:E26)</f>
        <v>66939067.37</v>
      </c>
    </row>
    <row r="28" spans="2:5" ht="15" thickTop="1">
      <c r="B28" s="38"/>
      <c r="C28" s="40"/>
      <c r="E28" s="40"/>
    </row>
    <row r="30" spans="1:5" ht="15">
      <c r="A30" s="323" t="s">
        <v>369</v>
      </c>
      <c r="B30" s="323"/>
      <c r="C30" s="323"/>
      <c r="D30" s="323"/>
      <c r="E30" s="323"/>
    </row>
    <row r="31" ht="15">
      <c r="G31" s="41"/>
    </row>
    <row r="32" spans="2:5" ht="15">
      <c r="B32" s="22"/>
      <c r="C32" s="36" t="s">
        <v>159</v>
      </c>
      <c r="D32" s="36"/>
      <c r="E32" s="36" t="s">
        <v>165</v>
      </c>
    </row>
    <row r="33" spans="2:5" ht="15">
      <c r="B33" s="23" t="s">
        <v>161</v>
      </c>
      <c r="C33" s="24">
        <f>'B2B'!B22</f>
        <v>5000000</v>
      </c>
      <c r="E33" s="24">
        <f>'B2B'!F22</f>
        <v>3042905.17</v>
      </c>
    </row>
    <row r="34" spans="2:5" ht="15">
      <c r="B34" s="23" t="s">
        <v>164</v>
      </c>
      <c r="C34" s="25">
        <f>'B2B'!B30</f>
        <v>2000000</v>
      </c>
      <c r="E34" s="25">
        <f>'B2B'!F30</f>
        <v>749000</v>
      </c>
    </row>
    <row r="35" spans="2:5" ht="15">
      <c r="B35" s="23" t="s">
        <v>162</v>
      </c>
      <c r="C35" s="24">
        <f>'B2B'!B126</f>
        <v>15027050</v>
      </c>
      <c r="E35" s="24">
        <f>'B2B'!F126</f>
        <v>8394109</v>
      </c>
    </row>
    <row r="36" spans="2:5" ht="15">
      <c r="B36" s="23" t="s">
        <v>163</v>
      </c>
      <c r="C36" s="24">
        <f>'B2B'!B168</f>
        <v>28074167</v>
      </c>
      <c r="E36" s="24">
        <f>'B2B'!F168</f>
        <v>28365784.439999998</v>
      </c>
    </row>
    <row r="37" spans="2:5" ht="15">
      <c r="B37" s="23" t="s">
        <v>584</v>
      </c>
      <c r="C37" s="24">
        <f>'B2B'!B174</f>
        <v>0</v>
      </c>
      <c r="E37" s="24">
        <f>'B2B'!F174</f>
        <v>762669.31</v>
      </c>
    </row>
    <row r="38" spans="2:5" ht="15">
      <c r="B38" s="23" t="s">
        <v>585</v>
      </c>
      <c r="C38" s="24">
        <f>'B2B'!B195+'B2B'!B200</f>
        <v>7131500</v>
      </c>
      <c r="E38" s="24">
        <f>'B2B'!F195+'B2B'!F197+'B2B'!F199</f>
        <v>5624253.9</v>
      </c>
    </row>
    <row r="39" spans="2:5" ht="15" thickBot="1">
      <c r="B39" s="38" t="s">
        <v>158</v>
      </c>
      <c r="C39" s="39">
        <f>SUM(C33:C38)</f>
        <v>57232717</v>
      </c>
      <c r="E39" s="39">
        <f>SUM(E33:E38)</f>
        <v>46938721.82</v>
      </c>
    </row>
    <row r="40" ht="15" thickTop="1"/>
    <row r="42" spans="2:5" ht="15">
      <c r="B42" s="38"/>
      <c r="C42" s="40"/>
      <c r="E42" s="40"/>
    </row>
    <row r="43" spans="2:5" ht="15">
      <c r="B43" s="38"/>
      <c r="C43" s="40"/>
      <c r="E43" s="40"/>
    </row>
    <row r="44" spans="2:5" ht="15">
      <c r="B44" s="38"/>
      <c r="C44" s="40"/>
      <c r="E44" s="40"/>
    </row>
    <row r="45" spans="2:5" ht="15">
      <c r="B45" s="38"/>
      <c r="C45" s="40"/>
      <c r="E45" s="40"/>
    </row>
    <row r="46" spans="2:5" ht="15">
      <c r="B46" s="38"/>
      <c r="C46" s="40"/>
      <c r="E46" s="40"/>
    </row>
    <row r="47" spans="2:5" ht="15">
      <c r="B47" s="38"/>
      <c r="C47" s="40"/>
      <c r="E47" s="40"/>
    </row>
    <row r="48" spans="2:5" ht="15">
      <c r="B48" s="38"/>
      <c r="C48" s="40"/>
      <c r="E48" s="40"/>
    </row>
    <row r="49" spans="2:5" ht="15">
      <c r="B49" s="38"/>
      <c r="C49" s="40"/>
      <c r="E49" s="40"/>
    </row>
    <row r="50" spans="2:5" ht="15">
      <c r="B50" s="38"/>
      <c r="C50" s="40"/>
      <c r="E50" s="40"/>
    </row>
    <row r="51" spans="2:5" ht="15">
      <c r="B51" s="38"/>
      <c r="C51" s="40"/>
      <c r="E51" s="40"/>
    </row>
    <row r="52" spans="2:5" ht="15">
      <c r="B52" s="38"/>
      <c r="C52" s="40"/>
      <c r="E52" s="40"/>
    </row>
    <row r="53" spans="2:5" ht="15">
      <c r="B53" s="38"/>
      <c r="C53" s="40"/>
      <c r="E53" s="40"/>
    </row>
    <row r="54" spans="2:5" ht="15">
      <c r="B54" s="38"/>
      <c r="C54" s="40"/>
      <c r="E54" s="40"/>
    </row>
    <row r="55" spans="2:5" ht="15">
      <c r="B55" s="38"/>
      <c r="C55" s="40"/>
      <c r="E55" s="40"/>
    </row>
    <row r="56" spans="2:5" ht="15">
      <c r="B56" s="38"/>
      <c r="C56" s="40"/>
      <c r="E56" s="40"/>
    </row>
    <row r="57" spans="2:5" ht="15">
      <c r="B57" s="38"/>
      <c r="C57" s="40"/>
      <c r="E57" s="40"/>
    </row>
    <row r="58" spans="2:5" ht="15">
      <c r="B58" s="38"/>
      <c r="C58" s="40"/>
      <c r="E58" s="40"/>
    </row>
    <row r="59" spans="2:5" ht="15">
      <c r="B59" s="38"/>
      <c r="C59" s="40"/>
      <c r="E59" s="40"/>
    </row>
    <row r="60" spans="2:5" ht="15">
      <c r="B60" s="38"/>
      <c r="C60" s="40"/>
      <c r="E60" s="40"/>
    </row>
    <row r="61" spans="2:5" ht="15">
      <c r="B61" s="38"/>
      <c r="C61" s="40"/>
      <c r="E61" s="40"/>
    </row>
    <row r="62" spans="2:5" ht="15">
      <c r="B62" s="38"/>
      <c r="C62" s="40"/>
      <c r="E62" s="40"/>
    </row>
    <row r="63" spans="2:5" ht="15">
      <c r="B63" s="38"/>
      <c r="C63" s="40"/>
      <c r="E63" s="40"/>
    </row>
    <row r="64" spans="2:5" ht="15">
      <c r="B64" s="38"/>
      <c r="C64" s="40"/>
      <c r="E64" s="40"/>
    </row>
    <row r="65" spans="2:5" ht="15">
      <c r="B65" s="38"/>
      <c r="C65" s="40"/>
      <c r="E65" s="40"/>
    </row>
    <row r="66" spans="2:5" ht="15">
      <c r="B66" s="38"/>
      <c r="C66" s="40"/>
      <c r="E66" s="40"/>
    </row>
    <row r="67" spans="2:5" ht="15">
      <c r="B67" s="38"/>
      <c r="C67" s="40"/>
      <c r="E67" s="40"/>
    </row>
    <row r="68" spans="2:5" ht="15">
      <c r="B68" s="38"/>
      <c r="C68" s="40"/>
      <c r="E68" s="40"/>
    </row>
    <row r="69" spans="2:5" ht="15">
      <c r="B69" s="38"/>
      <c r="C69" s="40"/>
      <c r="E69" s="40"/>
    </row>
  </sheetData>
  <sheetProtection/>
  <mergeCells count="5">
    <mergeCell ref="A30:E30"/>
    <mergeCell ref="A2:E2"/>
    <mergeCell ref="A1:E1"/>
    <mergeCell ref="A11:E11"/>
    <mergeCell ref="A20:E20"/>
  </mergeCells>
  <printOptions gridLines="1"/>
  <pageMargins left="1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6"/>
  <sheetViews>
    <sheetView zoomScale="85" zoomScaleNormal="85" zoomScalePageLayoutView="0" workbookViewId="0" topLeftCell="A1">
      <pane xSplit="1" ySplit="3" topLeftCell="B1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9" sqref="A199"/>
    </sheetView>
  </sheetViews>
  <sheetFormatPr defaultColWidth="8.8515625" defaultRowHeight="12.75"/>
  <cols>
    <col min="1" max="1" width="39.28125" style="7" customWidth="1"/>
    <col min="2" max="2" width="16.7109375" style="6" customWidth="1"/>
    <col min="3" max="3" width="1.28515625" style="6" customWidth="1"/>
    <col min="4" max="4" width="16.7109375" style="6" customWidth="1"/>
    <col min="5" max="5" width="1.28515625" style="6" customWidth="1"/>
    <col min="6" max="6" width="16.7109375" style="6" customWidth="1"/>
    <col min="7" max="7" width="1.28515625" style="7" customWidth="1"/>
    <col min="8" max="8" width="16.7109375" style="7" customWidth="1"/>
    <col min="9" max="9" width="1.28515625" style="7" customWidth="1"/>
    <col min="10" max="10" width="16.7109375" style="7" customWidth="1"/>
    <col min="11" max="11" width="14.140625" style="7" customWidth="1"/>
    <col min="12" max="16384" width="8.8515625" style="7" customWidth="1"/>
  </cols>
  <sheetData>
    <row r="1" spans="1:5" ht="21.75">
      <c r="A1" s="325" t="s">
        <v>486</v>
      </c>
      <c r="B1" s="325"/>
      <c r="C1" s="42"/>
      <c r="D1" s="43"/>
      <c r="E1" s="43"/>
    </row>
    <row r="2" spans="1:10" ht="12.75">
      <c r="A2" s="326" t="s">
        <v>152</v>
      </c>
      <c r="B2" s="8" t="s">
        <v>717</v>
      </c>
      <c r="D2" s="33" t="s">
        <v>718</v>
      </c>
      <c r="F2" s="8" t="s">
        <v>719</v>
      </c>
      <c r="H2" s="31" t="s">
        <v>169</v>
      </c>
      <c r="J2" s="31" t="s">
        <v>170</v>
      </c>
    </row>
    <row r="3" spans="1:10" ht="12.75">
      <c r="A3" s="327"/>
      <c r="B3" s="26" t="s">
        <v>720</v>
      </c>
      <c r="C3" s="8"/>
      <c r="D3" s="26" t="s">
        <v>720</v>
      </c>
      <c r="E3" s="8"/>
      <c r="F3" s="32" t="s">
        <v>368</v>
      </c>
      <c r="H3" s="26" t="s">
        <v>722</v>
      </c>
      <c r="J3" s="32" t="s">
        <v>721</v>
      </c>
    </row>
    <row r="4" spans="1:2" ht="12.75">
      <c r="A4" s="44" t="s">
        <v>173</v>
      </c>
      <c r="B4" s="6">
        <v>3000000</v>
      </c>
    </row>
    <row r="5" spans="1:8" ht="12.75">
      <c r="A5" s="7" t="s">
        <v>52</v>
      </c>
      <c r="D5" s="6">
        <v>15000</v>
      </c>
      <c r="F5" s="6">
        <v>12500</v>
      </c>
      <c r="H5" s="45">
        <f>D5-F5</f>
        <v>2500</v>
      </c>
    </row>
    <row r="6" spans="1:8" ht="12.75">
      <c r="A6" s="7" t="s">
        <v>139</v>
      </c>
      <c r="B6" s="6" t="s">
        <v>51</v>
      </c>
      <c r="D6" s="6">
        <v>650000</v>
      </c>
      <c r="F6" s="6">
        <v>989405.17</v>
      </c>
      <c r="H6" s="45">
        <f aca="true" t="shared" si="0" ref="H6:H21">D6-F6</f>
        <v>-339405.17000000004</v>
      </c>
    </row>
    <row r="7" spans="1:8" ht="12.75">
      <c r="A7" s="7" t="s">
        <v>115</v>
      </c>
      <c r="D7" s="6">
        <v>70000</v>
      </c>
      <c r="F7" s="6">
        <v>45000</v>
      </c>
      <c r="H7" s="45">
        <f t="shared" si="0"/>
        <v>25000</v>
      </c>
    </row>
    <row r="8" spans="1:8" ht="12.75">
      <c r="A8" s="7" t="s">
        <v>90</v>
      </c>
      <c r="B8" s="6">
        <v>200000</v>
      </c>
      <c r="D8" s="6">
        <v>200000</v>
      </c>
      <c r="F8" s="6">
        <v>175000</v>
      </c>
      <c r="H8" s="45">
        <f t="shared" si="0"/>
        <v>25000</v>
      </c>
    </row>
    <row r="9" spans="1:8" ht="12.75">
      <c r="A9" s="7" t="s">
        <v>116</v>
      </c>
      <c r="D9" s="6">
        <v>20000</v>
      </c>
      <c r="F9" s="6">
        <v>16000</v>
      </c>
      <c r="H9" s="45">
        <f t="shared" si="0"/>
        <v>4000</v>
      </c>
    </row>
    <row r="10" spans="1:8" ht="12.75">
      <c r="A10" s="7" t="s">
        <v>117</v>
      </c>
      <c r="D10" s="6">
        <v>30000</v>
      </c>
      <c r="F10" s="6">
        <v>20000</v>
      </c>
      <c r="H10" s="45">
        <f t="shared" si="0"/>
        <v>10000</v>
      </c>
    </row>
    <row r="11" spans="1:8" ht="12.75">
      <c r="A11" s="7" t="s">
        <v>118</v>
      </c>
      <c r="D11" s="6">
        <v>50000</v>
      </c>
      <c r="F11" s="6">
        <v>35000</v>
      </c>
      <c r="H11" s="45">
        <f t="shared" si="0"/>
        <v>15000</v>
      </c>
    </row>
    <row r="12" spans="1:8" ht="12.75">
      <c r="A12" s="7" t="s">
        <v>89</v>
      </c>
      <c r="B12" s="6">
        <v>1500000</v>
      </c>
      <c r="D12" s="6">
        <v>1500000</v>
      </c>
      <c r="F12" s="6">
        <v>1500000</v>
      </c>
      <c r="H12" s="45">
        <f t="shared" si="0"/>
        <v>0</v>
      </c>
    </row>
    <row r="13" spans="1:8" ht="12.75">
      <c r="A13" s="7" t="s">
        <v>119</v>
      </c>
      <c r="D13" s="6">
        <v>45000</v>
      </c>
      <c r="F13" s="6">
        <v>35000</v>
      </c>
      <c r="H13" s="45">
        <f t="shared" si="0"/>
        <v>10000</v>
      </c>
    </row>
    <row r="14" spans="1:8" ht="12.75">
      <c r="A14" s="7" t="s">
        <v>120</v>
      </c>
      <c r="D14" s="6">
        <v>30000</v>
      </c>
      <c r="F14" s="6">
        <v>25000</v>
      </c>
      <c r="H14" s="45">
        <f t="shared" si="0"/>
        <v>5000</v>
      </c>
    </row>
    <row r="15" spans="1:8" ht="12.75">
      <c r="A15" s="7" t="s">
        <v>121</v>
      </c>
      <c r="F15" s="6">
        <v>15000</v>
      </c>
      <c r="H15" s="45">
        <f t="shared" si="0"/>
        <v>-15000</v>
      </c>
    </row>
    <row r="16" spans="1:8" ht="12.75">
      <c r="A16" s="7" t="s">
        <v>122</v>
      </c>
      <c r="B16" s="6">
        <v>150000</v>
      </c>
      <c r="D16" s="6">
        <v>150000</v>
      </c>
      <c r="F16" s="6">
        <v>100000</v>
      </c>
      <c r="H16" s="45">
        <f t="shared" si="0"/>
        <v>50000</v>
      </c>
    </row>
    <row r="17" spans="1:8" ht="12.75">
      <c r="A17" s="7" t="s">
        <v>91</v>
      </c>
      <c r="B17" s="6">
        <v>150000</v>
      </c>
      <c r="D17" s="6">
        <v>150000</v>
      </c>
      <c r="F17" s="6">
        <v>75000</v>
      </c>
      <c r="H17" s="45">
        <f t="shared" si="0"/>
        <v>75000</v>
      </c>
    </row>
    <row r="18" ht="12.75">
      <c r="H18" s="45">
        <f t="shared" si="0"/>
        <v>0</v>
      </c>
    </row>
    <row r="19" spans="1:8" ht="12.75">
      <c r="A19" s="7" t="s">
        <v>33</v>
      </c>
      <c r="F19" s="6">
        <v>0</v>
      </c>
      <c r="H19" s="45">
        <f t="shared" si="0"/>
        <v>0</v>
      </c>
    </row>
    <row r="20" spans="1:8" ht="12.75">
      <c r="A20" s="7" t="s">
        <v>34</v>
      </c>
      <c r="F20" s="6">
        <v>0</v>
      </c>
      <c r="H20" s="45">
        <f t="shared" si="0"/>
        <v>0</v>
      </c>
    </row>
    <row r="21" spans="8:10" ht="12.75">
      <c r="H21" s="45">
        <f t="shared" si="0"/>
        <v>0</v>
      </c>
      <c r="J21" s="45"/>
    </row>
    <row r="22" spans="1:10" ht="16.5">
      <c r="A22" s="170" t="s">
        <v>583</v>
      </c>
      <c r="B22" s="46">
        <f>SUM(B4:B21)</f>
        <v>5000000</v>
      </c>
      <c r="C22" s="46"/>
      <c r="D22" s="46">
        <f>SUM(D4:D21)</f>
        <v>2910000</v>
      </c>
      <c r="E22" s="46"/>
      <c r="F22" s="46">
        <f>SUM(F4:F21)</f>
        <v>3042905.17</v>
      </c>
      <c r="H22" s="33"/>
      <c r="J22" s="46">
        <v>278490</v>
      </c>
    </row>
    <row r="23" ht="12.75">
      <c r="C23" s="6" t="s">
        <v>724</v>
      </c>
    </row>
    <row r="24" spans="1:10" ht="12.75">
      <c r="A24" s="47" t="s">
        <v>503</v>
      </c>
      <c r="B24" s="8"/>
      <c r="C24" s="8"/>
      <c r="D24" s="8"/>
      <c r="E24" s="8"/>
      <c r="F24" s="31"/>
      <c r="H24" s="8"/>
      <c r="J24" s="31"/>
    </row>
    <row r="25" spans="1:6" ht="12.75">
      <c r="A25" s="7" t="s">
        <v>587</v>
      </c>
      <c r="D25" s="6">
        <v>40000</v>
      </c>
      <c r="F25" s="6">
        <v>20000</v>
      </c>
    </row>
    <row r="26" spans="1:6" ht="12.75">
      <c r="A26" s="7" t="s">
        <v>133</v>
      </c>
      <c r="B26" s="6">
        <v>2000000</v>
      </c>
      <c r="F26" s="6">
        <v>25000</v>
      </c>
    </row>
    <row r="27" spans="1:6" ht="12.75">
      <c r="A27" s="7" t="s">
        <v>134</v>
      </c>
      <c r="B27" s="33"/>
      <c r="F27" s="6">
        <v>4000</v>
      </c>
    </row>
    <row r="28" spans="1:6" ht="12.75">
      <c r="A28" s="7" t="s">
        <v>109</v>
      </c>
      <c r="B28" s="33"/>
      <c r="D28" s="6">
        <v>40000</v>
      </c>
      <c r="F28" s="6">
        <v>700000</v>
      </c>
    </row>
    <row r="29" ht="12.75">
      <c r="B29" s="33"/>
    </row>
    <row r="30" spans="1:10" ht="16.5">
      <c r="A30" s="170" t="s">
        <v>582</v>
      </c>
      <c r="B30" s="46">
        <f>SUM(B25:B28)</f>
        <v>2000000</v>
      </c>
      <c r="C30" s="48"/>
      <c r="D30" s="46">
        <f>SUM(D25:D28)</f>
        <v>80000</v>
      </c>
      <c r="E30" s="48"/>
      <c r="F30" s="46">
        <f>SUM(F25:F28)</f>
        <v>749000</v>
      </c>
      <c r="J30" s="49"/>
    </row>
    <row r="31" spans="1:10" ht="12.75">
      <c r="A31" s="5"/>
      <c r="B31" s="33"/>
      <c r="F31" s="33"/>
      <c r="J31" s="49"/>
    </row>
    <row r="32" spans="1:3" ht="12.75">
      <c r="A32" s="5" t="s">
        <v>504</v>
      </c>
      <c r="C32" s="6" t="s">
        <v>724</v>
      </c>
    </row>
    <row r="33" spans="1:10" ht="16.5">
      <c r="A33" s="7" t="s">
        <v>140</v>
      </c>
      <c r="B33" s="48"/>
      <c r="C33" s="48"/>
      <c r="D33" s="48"/>
      <c r="E33" s="48"/>
      <c r="F33" s="46">
        <v>125000</v>
      </c>
      <c r="H33" s="45"/>
      <c r="J33" s="45"/>
    </row>
    <row r="34" spans="1:10" ht="12.75">
      <c r="A34" s="5"/>
      <c r="B34" s="33"/>
      <c r="F34" s="33"/>
      <c r="H34" s="45"/>
      <c r="J34" s="45"/>
    </row>
    <row r="35" spans="1:2" ht="12.75">
      <c r="A35" s="5" t="s">
        <v>505</v>
      </c>
      <c r="B35" s="6">
        <f>500000</f>
        <v>500000</v>
      </c>
    </row>
    <row r="36" spans="1:6" ht="12.75">
      <c r="A36" s="7" t="s">
        <v>114</v>
      </c>
      <c r="B36" s="6">
        <v>112500</v>
      </c>
      <c r="F36" s="6">
        <v>0</v>
      </c>
    </row>
    <row r="37" spans="1:6" ht="12.75">
      <c r="A37" s="5" t="s">
        <v>143</v>
      </c>
      <c r="F37" s="6">
        <v>20000</v>
      </c>
    </row>
    <row r="38" spans="1:6" ht="12.75">
      <c r="A38" s="7" t="s">
        <v>141</v>
      </c>
      <c r="F38" s="6">
        <v>22500</v>
      </c>
    </row>
    <row r="39" spans="1:6" ht="12.75">
      <c r="A39" s="7" t="s">
        <v>517</v>
      </c>
      <c r="F39" s="6">
        <v>70000</v>
      </c>
    </row>
    <row r="40" spans="1:6" ht="12.75">
      <c r="A40" s="7" t="s">
        <v>518</v>
      </c>
      <c r="F40" s="6">
        <v>50000</v>
      </c>
    </row>
    <row r="41" spans="1:6" ht="12.75">
      <c r="A41" s="7" t="s">
        <v>142</v>
      </c>
      <c r="D41" s="6">
        <v>50000</v>
      </c>
      <c r="F41" s="6">
        <v>20000</v>
      </c>
    </row>
    <row r="42" spans="1:6" ht="12.75">
      <c r="A42" s="7" t="s">
        <v>519</v>
      </c>
      <c r="F42" s="6">
        <v>90000</v>
      </c>
    </row>
    <row r="43" spans="1:6" ht="12.75">
      <c r="A43" s="7" t="s">
        <v>520</v>
      </c>
      <c r="F43" s="6">
        <v>50000</v>
      </c>
    </row>
    <row r="44" spans="1:10" ht="12.75">
      <c r="A44" s="7" t="s">
        <v>100</v>
      </c>
      <c r="B44" s="6">
        <v>500000</v>
      </c>
      <c r="D44" s="6">
        <v>500000</v>
      </c>
      <c r="F44" s="6">
        <v>300000</v>
      </c>
      <c r="H44" s="45"/>
      <c r="J44" s="45"/>
    </row>
    <row r="45" spans="3:10" ht="12.75">
      <c r="C45" s="7"/>
      <c r="E45" s="7"/>
      <c r="H45" s="45"/>
      <c r="J45" s="45"/>
    </row>
    <row r="46" spans="2:10" ht="16.5">
      <c r="B46" s="46">
        <f>SUM(B35:B45)</f>
        <v>1112500</v>
      </c>
      <c r="C46" s="46"/>
      <c r="D46" s="46">
        <f>SUM(D35:D45)</f>
        <v>550000</v>
      </c>
      <c r="E46" s="46"/>
      <c r="F46" s="46">
        <f>SUM(F35:F45)</f>
        <v>622500</v>
      </c>
      <c r="H46" s="33"/>
      <c r="J46" s="49"/>
    </row>
    <row r="47" spans="2:10" ht="12.75">
      <c r="B47" s="33"/>
      <c r="C47" s="33"/>
      <c r="D47" s="33"/>
      <c r="E47" s="33"/>
      <c r="F47" s="33"/>
      <c r="H47" s="33"/>
      <c r="J47" s="49"/>
    </row>
    <row r="48" spans="1:6" ht="12.75">
      <c r="A48" s="5" t="s">
        <v>144</v>
      </c>
      <c r="B48" s="6">
        <f>80000+660000-B50-B53-B54</f>
        <v>455000</v>
      </c>
      <c r="D48" s="6">
        <v>1000000</v>
      </c>
      <c r="F48" s="6">
        <v>700000</v>
      </c>
    </row>
    <row r="49" spans="1:8" ht="12.75">
      <c r="A49" s="5" t="s">
        <v>506</v>
      </c>
      <c r="H49" s="45"/>
    </row>
    <row r="50" spans="1:8" ht="12.75">
      <c r="A50" s="7" t="s">
        <v>102</v>
      </c>
      <c r="B50" s="6">
        <v>135000</v>
      </c>
      <c r="D50" s="6">
        <v>135000</v>
      </c>
      <c r="F50" s="6">
        <v>135509</v>
      </c>
      <c r="H50" s="33"/>
    </row>
    <row r="51" spans="1:8" ht="12.75">
      <c r="A51" s="7" t="s">
        <v>448</v>
      </c>
      <c r="F51" s="6">
        <v>36000</v>
      </c>
      <c r="H51" s="33"/>
    </row>
    <row r="52" spans="1:8" ht="12.75">
      <c r="A52" s="7" t="s">
        <v>145</v>
      </c>
      <c r="F52" s="6">
        <v>37600</v>
      </c>
      <c r="H52" s="33"/>
    </row>
    <row r="53" spans="1:8" ht="12.75">
      <c r="A53" s="7" t="s">
        <v>104</v>
      </c>
      <c r="B53" s="6">
        <v>90000</v>
      </c>
      <c r="D53" s="6">
        <v>90000</v>
      </c>
      <c r="F53" s="6">
        <v>92500</v>
      </c>
      <c r="H53" s="33"/>
    </row>
    <row r="54" spans="1:8" ht="12.75">
      <c r="A54" s="7" t="s">
        <v>105</v>
      </c>
      <c r="B54" s="6">
        <v>60000</v>
      </c>
      <c r="D54" s="6">
        <v>60000</v>
      </c>
      <c r="F54" s="6">
        <v>60000</v>
      </c>
      <c r="H54" s="33"/>
    </row>
    <row r="55" ht="12.75">
      <c r="H55" s="33"/>
    </row>
    <row r="56" spans="2:10" ht="16.5">
      <c r="B56" s="46">
        <f>SUM(B48:B54)</f>
        <v>740000</v>
      </c>
      <c r="C56" s="48"/>
      <c r="D56" s="46">
        <f>SUM(D48:D54)</f>
        <v>1285000</v>
      </c>
      <c r="E56" s="48"/>
      <c r="F56" s="46">
        <f>SUM(F48:F54)</f>
        <v>1061609</v>
      </c>
      <c r="H56" s="33"/>
      <c r="J56" s="45"/>
    </row>
    <row r="57" spans="1:2" ht="12.75">
      <c r="A57" s="5" t="s">
        <v>507</v>
      </c>
      <c r="B57" s="33"/>
    </row>
    <row r="58" spans="2:10" ht="12.75">
      <c r="B58" s="8"/>
      <c r="C58" s="8"/>
      <c r="D58" s="8"/>
      <c r="E58" s="8"/>
      <c r="F58" s="50"/>
      <c r="H58" s="8"/>
      <c r="J58" s="31"/>
    </row>
    <row r="59" ht="12.75">
      <c r="A59" s="5" t="s">
        <v>348</v>
      </c>
    </row>
    <row r="60" spans="8:10" ht="12.75">
      <c r="H60" s="45"/>
      <c r="J60" s="45"/>
    </row>
    <row r="61" spans="1:10" ht="12.75">
      <c r="A61" s="5" t="s">
        <v>508</v>
      </c>
      <c r="H61" s="45"/>
      <c r="J61" s="45"/>
    </row>
    <row r="62" spans="1:10" ht="12.75">
      <c r="A62" s="7" t="s">
        <v>92</v>
      </c>
      <c r="B62" s="6">
        <v>6000000</v>
      </c>
      <c r="D62" s="2">
        <v>6500000</v>
      </c>
      <c r="F62" s="6">
        <v>4500000</v>
      </c>
      <c r="H62" s="45"/>
      <c r="J62" s="45"/>
    </row>
    <row r="63" spans="1:10" ht="12.75">
      <c r="A63" s="7" t="s">
        <v>103</v>
      </c>
      <c r="B63" s="6">
        <v>100000</v>
      </c>
      <c r="D63" s="6">
        <v>100000</v>
      </c>
      <c r="F63" s="6">
        <v>75000</v>
      </c>
      <c r="H63" s="45"/>
      <c r="J63" s="45"/>
    </row>
    <row r="64" spans="1:10" ht="12.75">
      <c r="A64" s="7" t="s">
        <v>112</v>
      </c>
      <c r="B64" s="6">
        <v>15000</v>
      </c>
      <c r="D64" s="6">
        <v>15000</v>
      </c>
      <c r="F64" s="6">
        <v>15000</v>
      </c>
      <c r="H64" s="45"/>
      <c r="J64" s="45"/>
    </row>
    <row r="65" spans="1:10" ht="12.75">
      <c r="A65" s="7" t="s">
        <v>146</v>
      </c>
      <c r="D65" s="6">
        <v>25000</v>
      </c>
      <c r="F65" s="6">
        <v>25000</v>
      </c>
      <c r="H65" s="45"/>
      <c r="J65" s="45"/>
    </row>
    <row r="66" spans="1:10" ht="12.75">
      <c r="A66" s="7" t="s">
        <v>147</v>
      </c>
      <c r="D66" s="6">
        <v>25000</v>
      </c>
      <c r="F66" s="6">
        <v>25000</v>
      </c>
      <c r="H66" s="45"/>
      <c r="J66" s="45"/>
    </row>
    <row r="67" spans="1:10" ht="12.75">
      <c r="A67" s="7" t="s">
        <v>148</v>
      </c>
      <c r="D67" s="6">
        <v>25000</v>
      </c>
      <c r="F67" s="6">
        <v>25000</v>
      </c>
      <c r="H67" s="45"/>
      <c r="J67" s="45"/>
    </row>
    <row r="68" spans="1:10" ht="12.75">
      <c r="A68" s="7" t="s">
        <v>143</v>
      </c>
      <c r="D68" s="6">
        <v>20000</v>
      </c>
      <c r="F68" s="6">
        <v>0</v>
      </c>
      <c r="H68" s="45"/>
      <c r="J68" s="45"/>
    </row>
    <row r="69" spans="1:10" ht="12.75">
      <c r="A69" s="7" t="s">
        <v>149</v>
      </c>
      <c r="F69" s="6">
        <v>10000</v>
      </c>
      <c r="H69" s="45"/>
      <c r="J69" s="45"/>
    </row>
    <row r="70" spans="1:10" ht="12.75">
      <c r="A70" s="7" t="s">
        <v>166</v>
      </c>
      <c r="B70" s="6">
        <f>75000-B64</f>
        <v>60000</v>
      </c>
      <c r="D70" s="6">
        <f>25000+25000+25000+25000</f>
        <v>100000</v>
      </c>
      <c r="F70" s="6">
        <v>0</v>
      </c>
      <c r="H70" s="45"/>
      <c r="J70" s="45"/>
    </row>
    <row r="71" spans="8:10" ht="12.75">
      <c r="H71" s="45"/>
      <c r="J71" s="45"/>
    </row>
    <row r="72" spans="2:10" ht="16.5">
      <c r="B72" s="46">
        <f>SUM(B62:B70)</f>
        <v>6175000</v>
      </c>
      <c r="C72" s="48"/>
      <c r="D72" s="46">
        <f>SUM(D62:D70)</f>
        <v>6810000</v>
      </c>
      <c r="E72" s="48"/>
      <c r="F72" s="46">
        <f>SUM(F62:F70)</f>
        <v>4675000</v>
      </c>
      <c r="H72" s="33"/>
      <c r="J72" s="33"/>
    </row>
    <row r="73" spans="1:10" ht="12.75">
      <c r="A73" s="5" t="s">
        <v>701</v>
      </c>
      <c r="B73" s="33"/>
      <c r="F73" s="33"/>
      <c r="H73" s="33"/>
      <c r="J73" s="33"/>
    </row>
    <row r="74" spans="1:10" ht="12.75">
      <c r="A74" s="7" t="s">
        <v>94</v>
      </c>
      <c r="B74" s="6">
        <v>1300000</v>
      </c>
      <c r="D74" s="6">
        <v>1500000</v>
      </c>
      <c r="F74" s="6">
        <v>900000</v>
      </c>
      <c r="H74" s="6"/>
      <c r="J74" s="6"/>
    </row>
    <row r="75" spans="1:10" ht="12.75">
      <c r="A75" s="7" t="s">
        <v>99</v>
      </c>
      <c r="B75" s="6">
        <v>500000</v>
      </c>
      <c r="D75" s="6">
        <v>500000</v>
      </c>
      <c r="F75" s="6">
        <v>350000</v>
      </c>
      <c r="H75" s="6"/>
      <c r="J75" s="6"/>
    </row>
    <row r="76" spans="1:10" ht="12.75">
      <c r="A76" s="7" t="s">
        <v>108</v>
      </c>
      <c r="B76" s="6">
        <v>40000</v>
      </c>
      <c r="D76" s="6">
        <v>40000</v>
      </c>
      <c r="F76" s="6">
        <v>20000</v>
      </c>
      <c r="H76" s="6"/>
      <c r="J76" s="6"/>
    </row>
    <row r="77" spans="1:10" ht="12.75">
      <c r="A77" s="7" t="s">
        <v>110</v>
      </c>
      <c r="B77" s="6">
        <v>40000</v>
      </c>
      <c r="D77" s="6">
        <v>40000</v>
      </c>
      <c r="F77" s="6">
        <v>20000</v>
      </c>
      <c r="H77" s="6"/>
      <c r="J77" s="6"/>
    </row>
    <row r="78" spans="1:10" ht="12.75">
      <c r="A78" s="7" t="s">
        <v>111</v>
      </c>
      <c r="B78" s="6">
        <v>25000</v>
      </c>
      <c r="D78" s="6">
        <v>25000</v>
      </c>
      <c r="F78" s="6">
        <v>25000</v>
      </c>
      <c r="H78" s="6"/>
      <c r="J78" s="6"/>
    </row>
    <row r="79" spans="1:10" ht="12.75">
      <c r="A79" s="7" t="s">
        <v>131</v>
      </c>
      <c r="F79" s="6">
        <v>25000</v>
      </c>
      <c r="H79" s="6"/>
      <c r="J79" s="6"/>
    </row>
    <row r="80" spans="1:10" ht="12.75">
      <c r="A80" s="7" t="s">
        <v>132</v>
      </c>
      <c r="D80" s="6">
        <v>25000</v>
      </c>
      <c r="F80" s="6">
        <v>25000</v>
      </c>
      <c r="H80" s="6"/>
      <c r="J80" s="6"/>
    </row>
    <row r="81" spans="8:10" ht="12.75">
      <c r="H81" s="6"/>
      <c r="J81" s="6"/>
    </row>
    <row r="82" spans="1:10" ht="12.75">
      <c r="A82" s="7" t="s">
        <v>166</v>
      </c>
      <c r="B82" s="6">
        <f>1700000-B74-100000-75000-B76+1500000-B77-B75-B78</f>
        <v>1120000</v>
      </c>
      <c r="D82" s="6">
        <v>0</v>
      </c>
      <c r="F82" s="6">
        <v>0</v>
      </c>
      <c r="H82" s="6"/>
      <c r="J82" s="6"/>
    </row>
    <row r="83" spans="1:10" ht="12.75">
      <c r="A83" s="7" t="s">
        <v>703</v>
      </c>
      <c r="B83" s="6">
        <f>112800</f>
        <v>112800</v>
      </c>
      <c r="D83" s="6">
        <v>0</v>
      </c>
      <c r="F83" s="6">
        <v>0</v>
      </c>
      <c r="H83" s="45"/>
      <c r="J83" s="45"/>
    </row>
    <row r="84" spans="8:10" ht="12.75">
      <c r="H84" s="45"/>
      <c r="J84" s="45"/>
    </row>
    <row r="85" spans="2:10" ht="16.5">
      <c r="B85" s="46">
        <f>SUM(B74:B83)</f>
        <v>3137800</v>
      </c>
      <c r="C85" s="48"/>
      <c r="D85" s="46">
        <f>SUM(D74:D83)</f>
        <v>2130000</v>
      </c>
      <c r="E85" s="48"/>
      <c r="F85" s="46">
        <f>SUM(F74:F83)</f>
        <v>1365000</v>
      </c>
      <c r="H85" s="45"/>
      <c r="J85" s="45"/>
    </row>
    <row r="86" spans="8:10" ht="12.75">
      <c r="H86" s="45"/>
      <c r="J86" s="45"/>
    </row>
    <row r="87" spans="1:10" ht="12.75">
      <c r="A87" s="5" t="s">
        <v>509</v>
      </c>
      <c r="B87" s="33"/>
      <c r="D87" s="33"/>
      <c r="F87" s="33"/>
      <c r="H87" s="33"/>
      <c r="J87" s="33"/>
    </row>
    <row r="88" spans="1:10" ht="12.75">
      <c r="A88" s="7" t="s">
        <v>106</v>
      </c>
      <c r="B88" s="6">
        <v>57500</v>
      </c>
      <c r="D88" s="6">
        <v>57500</v>
      </c>
      <c r="F88" s="6">
        <v>45000</v>
      </c>
      <c r="H88" s="33"/>
      <c r="J88" s="33"/>
    </row>
    <row r="89" spans="1:10" ht="12.75">
      <c r="A89" s="7" t="s">
        <v>107</v>
      </c>
      <c r="B89" s="6">
        <v>57500</v>
      </c>
      <c r="D89" s="6">
        <v>57500</v>
      </c>
      <c r="F89" s="6">
        <v>45000</v>
      </c>
      <c r="H89" s="33"/>
      <c r="J89" s="33"/>
    </row>
    <row r="90" spans="8:10" ht="12.75">
      <c r="H90" s="33"/>
      <c r="J90" s="33"/>
    </row>
    <row r="91" spans="2:8" ht="16.5">
      <c r="B91" s="46">
        <f>SUM(B88:B89)</f>
        <v>115000</v>
      </c>
      <c r="C91" s="46"/>
      <c r="D91" s="46">
        <f>SUM(D88:D89)</f>
        <v>115000</v>
      </c>
      <c r="E91" s="46"/>
      <c r="F91" s="46">
        <f>SUM(F88:F89)</f>
        <v>90000</v>
      </c>
      <c r="H91" s="45"/>
    </row>
    <row r="92" spans="2:8" ht="12.75">
      <c r="B92" s="33"/>
      <c r="C92" s="33"/>
      <c r="D92" s="33"/>
      <c r="E92" s="33"/>
      <c r="F92" s="33"/>
      <c r="H92" s="45"/>
    </row>
    <row r="93" spans="1:8" ht="12.75">
      <c r="A93" s="5" t="s">
        <v>489</v>
      </c>
      <c r="B93" s="6">
        <f>600000</f>
        <v>600000</v>
      </c>
      <c r="D93" s="6">
        <v>600000</v>
      </c>
      <c r="F93" s="6">
        <v>75000</v>
      </c>
      <c r="H93" s="45"/>
    </row>
    <row r="94" spans="2:10" ht="12.75">
      <c r="B94" s="33"/>
      <c r="C94" s="33"/>
      <c r="D94" s="33"/>
      <c r="E94" s="33"/>
      <c r="F94" s="33"/>
      <c r="G94" s="5"/>
      <c r="H94" s="33"/>
      <c r="J94" s="49"/>
    </row>
    <row r="95" spans="1:10" ht="16.5">
      <c r="A95" s="3"/>
      <c r="B95" s="46">
        <f>SUM(B93:B94)</f>
        <v>600000</v>
      </c>
      <c r="C95" s="46"/>
      <c r="D95" s="46">
        <f>SUM(D93:D94)</f>
        <v>600000</v>
      </c>
      <c r="E95" s="48"/>
      <c r="F95" s="46">
        <f>SUM(F93:F94)</f>
        <v>75000</v>
      </c>
      <c r="H95" s="45"/>
      <c r="J95" s="45"/>
    </row>
    <row r="96" spans="1:10" ht="16.5">
      <c r="A96" s="3"/>
      <c r="B96" s="46"/>
      <c r="C96" s="46"/>
      <c r="D96" s="46"/>
      <c r="E96" s="48"/>
      <c r="F96" s="46"/>
      <c r="H96" s="45"/>
      <c r="J96" s="45"/>
    </row>
    <row r="97" spans="1:10" ht="12.75">
      <c r="A97" s="9" t="s">
        <v>656</v>
      </c>
      <c r="H97" s="45"/>
      <c r="J97" s="45"/>
    </row>
    <row r="98" spans="1:10" ht="12.75">
      <c r="A98" s="3" t="s">
        <v>700</v>
      </c>
      <c r="B98" s="6">
        <f>15000+52500</f>
        <v>67500</v>
      </c>
      <c r="D98" s="6">
        <v>80000</v>
      </c>
      <c r="F98" s="6">
        <v>55000</v>
      </c>
      <c r="H98" s="45"/>
      <c r="J98" s="45"/>
    </row>
    <row r="99" spans="1:10" ht="12.75">
      <c r="A99" s="3" t="s">
        <v>130</v>
      </c>
      <c r="B99" s="6">
        <f>10000+35000</f>
        <v>45000</v>
      </c>
      <c r="D99" s="6">
        <v>50000</v>
      </c>
      <c r="F99" s="6">
        <v>35000</v>
      </c>
      <c r="H99" s="33"/>
      <c r="J99" s="33"/>
    </row>
    <row r="100" spans="1:10" ht="12.75">
      <c r="A100" s="3" t="s">
        <v>35</v>
      </c>
      <c r="B100" s="6">
        <f>5000+17500</f>
        <v>22500</v>
      </c>
      <c r="D100" s="33"/>
      <c r="F100" s="33">
        <v>0</v>
      </c>
      <c r="H100" s="33"/>
      <c r="J100" s="33"/>
    </row>
    <row r="101" spans="1:6" ht="15">
      <c r="A101" s="51" t="s">
        <v>150</v>
      </c>
      <c r="B101" s="6">
        <f>7500+26250</f>
        <v>33750</v>
      </c>
      <c r="D101" s="6">
        <v>17000</v>
      </c>
      <c r="F101" s="6">
        <f>12000+5000</f>
        <v>17000</v>
      </c>
    </row>
    <row r="102" spans="1:8" ht="12.75">
      <c r="A102" s="7" t="s">
        <v>36</v>
      </c>
      <c r="B102" s="6">
        <f>50000+175000</f>
        <v>225000</v>
      </c>
      <c r="F102" s="6">
        <v>15000</v>
      </c>
      <c r="H102" s="45"/>
    </row>
    <row r="103" ht="12.75">
      <c r="H103" s="45"/>
    </row>
    <row r="104" spans="2:8" ht="16.5">
      <c r="B104" s="46">
        <f>SUM(B98:B102)</f>
        <v>393750</v>
      </c>
      <c r="C104" s="48"/>
      <c r="D104" s="46">
        <f>SUM(D98:D102)</f>
        <v>147000</v>
      </c>
      <c r="E104" s="48"/>
      <c r="F104" s="46">
        <f>SUM(F98:F102)</f>
        <v>122000</v>
      </c>
      <c r="H104" s="45"/>
    </row>
    <row r="105" spans="2:10" ht="12.75">
      <c r="B105" s="33"/>
      <c r="D105" s="33"/>
      <c r="F105" s="33"/>
      <c r="H105" s="33"/>
      <c r="J105" s="49"/>
    </row>
    <row r="106" ht="12.75">
      <c r="A106" s="5" t="s">
        <v>586</v>
      </c>
    </row>
    <row r="107" spans="1:4" ht="12.75">
      <c r="A107" s="7" t="s">
        <v>93</v>
      </c>
      <c r="B107" s="6">
        <v>1500000</v>
      </c>
      <c r="D107" s="6">
        <v>1000000</v>
      </c>
    </row>
    <row r="108" spans="8:10" ht="12.75">
      <c r="H108" s="45"/>
      <c r="J108" s="45"/>
    </row>
    <row r="109" spans="2:10" ht="16.5">
      <c r="B109" s="46">
        <f>SUM(B107:B108)</f>
        <v>1500000</v>
      </c>
      <c r="C109" s="48"/>
      <c r="D109" s="46">
        <f>SUM(D107:D108)</f>
        <v>1000000</v>
      </c>
      <c r="E109" s="48"/>
      <c r="F109" s="46">
        <f>SUM(F107:F108)</f>
        <v>0</v>
      </c>
      <c r="H109" s="45"/>
      <c r="J109" s="45"/>
    </row>
    <row r="110" spans="1:10" ht="12.75">
      <c r="A110" s="7" t="s">
        <v>174</v>
      </c>
      <c r="C110" s="7"/>
      <c r="E110" s="7"/>
      <c r="H110" s="45"/>
      <c r="J110" s="45"/>
    </row>
    <row r="111" spans="1:10" ht="12.75">
      <c r="A111" s="5" t="s">
        <v>350</v>
      </c>
      <c r="B111" s="33">
        <f>43000+1010000</f>
        <v>1053000</v>
      </c>
      <c r="C111" s="33"/>
      <c r="D111" s="33"/>
      <c r="E111" s="33"/>
      <c r="F111" s="33"/>
      <c r="H111" s="33"/>
      <c r="J111" s="33"/>
    </row>
    <row r="112" spans="1:10" ht="12.75">
      <c r="A112" s="7" t="s">
        <v>54</v>
      </c>
      <c r="B112" s="33"/>
      <c r="C112" s="33"/>
      <c r="D112" s="6">
        <v>72000</v>
      </c>
      <c r="E112" s="33"/>
      <c r="F112" s="6">
        <v>36000</v>
      </c>
      <c r="H112" s="33"/>
      <c r="J112" s="33"/>
    </row>
    <row r="113" spans="1:10" ht="12.75">
      <c r="A113" s="7" t="s">
        <v>514</v>
      </c>
      <c r="B113" s="33"/>
      <c r="C113" s="33"/>
      <c r="E113" s="33"/>
      <c r="F113" s="6">
        <v>72000</v>
      </c>
      <c r="H113" s="33"/>
      <c r="J113" s="33"/>
    </row>
    <row r="114" spans="1:10" ht="12.75">
      <c r="A114" s="7" t="s">
        <v>449</v>
      </c>
      <c r="B114" s="33"/>
      <c r="C114" s="33"/>
      <c r="E114" s="33"/>
      <c r="F114" s="6">
        <v>50000</v>
      </c>
      <c r="H114" s="33"/>
      <c r="J114" s="33"/>
    </row>
    <row r="115" spans="1:10" ht="12.75">
      <c r="A115" s="5"/>
      <c r="B115" s="33"/>
      <c r="C115" s="33"/>
      <c r="D115" s="33"/>
      <c r="E115" s="33"/>
      <c r="F115" s="33"/>
      <c r="H115" s="33"/>
      <c r="J115" s="33"/>
    </row>
    <row r="116" spans="1:10" ht="16.5">
      <c r="A116" s="5"/>
      <c r="B116" s="46">
        <f>SUM(B111:B115)</f>
        <v>1053000</v>
      </c>
      <c r="C116" s="46"/>
      <c r="D116" s="46">
        <f>SUM(D111:D115)</f>
        <v>72000</v>
      </c>
      <c r="E116" s="46"/>
      <c r="F116" s="46">
        <f>SUM(F111:F115)</f>
        <v>158000</v>
      </c>
      <c r="H116" s="33"/>
      <c r="J116" s="33"/>
    </row>
    <row r="118" spans="1:10" ht="16.5">
      <c r="A118" s="5" t="s">
        <v>53</v>
      </c>
      <c r="B118" s="46"/>
      <c r="C118" s="46"/>
      <c r="D118" s="46">
        <v>40000</v>
      </c>
      <c r="E118" s="46"/>
      <c r="F118" s="46"/>
      <c r="H118" s="45"/>
      <c r="J118" s="45"/>
    </row>
    <row r="119" spans="1:2" ht="12.75">
      <c r="A119" s="5"/>
      <c r="B119" s="33"/>
    </row>
    <row r="120" spans="1:2" ht="12.75">
      <c r="A120" s="5" t="s">
        <v>511</v>
      </c>
      <c r="B120" s="33"/>
    </row>
    <row r="121" spans="1:6" ht="16.5">
      <c r="A121" s="7" t="s">
        <v>101</v>
      </c>
      <c r="B121" s="46">
        <v>200000</v>
      </c>
      <c r="C121" s="48"/>
      <c r="D121" s="46">
        <v>200000</v>
      </c>
      <c r="E121" s="46"/>
      <c r="F121" s="46">
        <v>100000</v>
      </c>
    </row>
    <row r="122" ht="12.75">
      <c r="B122" s="33"/>
    </row>
    <row r="123" spans="1:6" ht="12.75">
      <c r="A123" s="5" t="s">
        <v>510</v>
      </c>
      <c r="B123" s="33"/>
      <c r="F123" s="33"/>
    </row>
    <row r="124" spans="1:10" ht="12.75">
      <c r="A124" s="7" t="s">
        <v>166</v>
      </c>
      <c r="J124" s="45"/>
    </row>
    <row r="125" spans="1:10" ht="12.75">
      <c r="A125" s="5"/>
      <c r="B125" s="33">
        <f>SUM(B124)</f>
        <v>0</v>
      </c>
      <c r="C125" s="33"/>
      <c r="D125" s="33"/>
      <c r="E125" s="33"/>
      <c r="J125" s="49"/>
    </row>
    <row r="126" spans="1:10" s="5" customFormat="1" ht="16.5">
      <c r="A126" s="170" t="s">
        <v>588</v>
      </c>
      <c r="B126" s="46">
        <f>B125+B118+B121+B111+B109+B104+B95+B85+B72+B56+B46+B33+B91</f>
        <v>15027050</v>
      </c>
      <c r="C126" s="52"/>
      <c r="D126" s="46">
        <f>D121+D118+D116+D109+D104+D95+D91+D85+D72+D56+D46</f>
        <v>12949000</v>
      </c>
      <c r="E126" s="52"/>
      <c r="F126" s="46">
        <f>F125+F118+F121+F116+F109+F104+F95+F85+F72+F56+F46+F33+F91</f>
        <v>8394109</v>
      </c>
      <c r="J126" s="49"/>
    </row>
    <row r="127" spans="1:10" ht="12.75">
      <c r="A127" s="5"/>
      <c r="C127" s="7"/>
      <c r="D127" s="7"/>
      <c r="E127" s="7"/>
      <c r="J127" s="45"/>
    </row>
    <row r="128" spans="1:10" ht="12.75">
      <c r="A128" s="5" t="s">
        <v>513</v>
      </c>
      <c r="J128" s="49"/>
    </row>
    <row r="130" spans="1:10" ht="12.75">
      <c r="A130" s="7" t="s">
        <v>37</v>
      </c>
      <c r="B130" s="6">
        <f>1000000+135000+30000</f>
        <v>1165000</v>
      </c>
      <c r="F130" s="6">
        <v>54974</v>
      </c>
      <c r="J130" s="45"/>
    </row>
    <row r="131" spans="1:10" ht="12.75">
      <c r="A131" s="7" t="s">
        <v>181</v>
      </c>
      <c r="B131" s="6">
        <f>20000+200000+375000+2100000+500000+336000</f>
        <v>3531000</v>
      </c>
      <c r="F131" s="6">
        <f>649980+210177+12627+387436</f>
        <v>1260220</v>
      </c>
      <c r="J131" s="45"/>
    </row>
    <row r="132" spans="1:10" ht="12.75">
      <c r="A132" s="7" t="s">
        <v>545</v>
      </c>
      <c r="F132" s="6">
        <v>0</v>
      </c>
      <c r="J132" s="45"/>
    </row>
    <row r="133" spans="1:10" ht="13.5" customHeight="1">
      <c r="A133" s="7" t="s">
        <v>547</v>
      </c>
      <c r="B133" s="6">
        <f>27000+500000+52500+82500+87500-B88-B89</f>
        <v>634500</v>
      </c>
      <c r="F133" s="6">
        <f>417462.8</f>
        <v>417462.8</v>
      </c>
      <c r="J133" s="45"/>
    </row>
    <row r="134" spans="1:10" ht="13.5" customHeight="1">
      <c r="A134" s="7" t="s">
        <v>550</v>
      </c>
      <c r="B134" s="6">
        <f>944500+67500+3657000+300000</f>
        <v>4969000</v>
      </c>
      <c r="F134" s="6">
        <v>1439957.5</v>
      </c>
      <c r="J134" s="45"/>
    </row>
    <row r="135" spans="1:10" ht="13.5" customHeight="1">
      <c r="A135" s="7" t="s">
        <v>551</v>
      </c>
      <c r="B135" s="6">
        <f>173000+20000+22500+1721500+6000</f>
        <v>1943000</v>
      </c>
      <c r="F135" s="6">
        <f>114565+137682</f>
        <v>252247</v>
      </c>
      <c r="J135" s="45"/>
    </row>
    <row r="136" spans="1:10" ht="13.5" customHeight="1">
      <c r="A136" s="7" t="s">
        <v>516</v>
      </c>
      <c r="F136" s="6">
        <v>83832</v>
      </c>
      <c r="J136" s="45"/>
    </row>
    <row r="137" spans="1:10" ht="13.5" customHeight="1">
      <c r="A137" s="7" t="s">
        <v>566</v>
      </c>
      <c r="B137" s="6">
        <f>2475000</f>
        <v>2475000</v>
      </c>
      <c r="F137" s="6">
        <v>3129820.14</v>
      </c>
      <c r="J137" s="45"/>
    </row>
    <row r="138" spans="1:10" ht="13.5" customHeight="1">
      <c r="A138" s="7" t="s">
        <v>572</v>
      </c>
      <c r="B138" s="6">
        <v>200000</v>
      </c>
      <c r="F138" s="6">
        <v>1000</v>
      </c>
      <c r="J138" s="45"/>
    </row>
    <row r="139" spans="1:6" ht="12.75">
      <c r="A139" s="7" t="s">
        <v>565</v>
      </c>
      <c r="B139" s="6">
        <v>8000000</v>
      </c>
      <c r="F139" s="6">
        <v>38171</v>
      </c>
    </row>
    <row r="141" spans="2:6" ht="16.5">
      <c r="B141" s="46">
        <f>SUM(B129:B140)</f>
        <v>22917500</v>
      </c>
      <c r="C141" s="48"/>
      <c r="D141" s="46">
        <f>SUM(D129:D140)</f>
        <v>0</v>
      </c>
      <c r="E141" s="48"/>
      <c r="F141" s="46">
        <f>SUM(F129:F140)</f>
        <v>6677684.4399999995</v>
      </c>
    </row>
    <row r="142" ht="12.75">
      <c r="A142" s="5" t="s">
        <v>571</v>
      </c>
    </row>
    <row r="143" spans="1:10" ht="12.75">
      <c r="A143" s="7" t="s">
        <v>568</v>
      </c>
      <c r="B143" s="6">
        <f>275000+100000</f>
        <v>375000</v>
      </c>
      <c r="J143" s="45"/>
    </row>
    <row r="144" spans="1:2" ht="12.75">
      <c r="A144" s="7" t="s">
        <v>570</v>
      </c>
      <c r="B144" s="6">
        <f>375000</f>
        <v>375000</v>
      </c>
    </row>
    <row r="145" spans="2:6" ht="12.75">
      <c r="B145" s="33">
        <f>SUM(B143:B144)</f>
        <v>750000</v>
      </c>
      <c r="D145" s="6">
        <f>SUM(D143:D144)</f>
        <v>0</v>
      </c>
      <c r="F145" s="33">
        <f>SUM(F143:F144)</f>
        <v>0</v>
      </c>
    </row>
    <row r="147" ht="12.75">
      <c r="A147" s="5" t="s">
        <v>581</v>
      </c>
    </row>
    <row r="148" spans="1:6" ht="12.75">
      <c r="A148" s="7" t="s">
        <v>540</v>
      </c>
      <c r="B148" s="6">
        <f>22500+50000</f>
        <v>72500</v>
      </c>
      <c r="F148" s="6">
        <v>43965</v>
      </c>
    </row>
    <row r="149" spans="1:6" ht="12.75">
      <c r="A149" s="7" t="s">
        <v>541</v>
      </c>
      <c r="F149" s="6">
        <v>0</v>
      </c>
    </row>
    <row r="150" spans="1:6" ht="12.75">
      <c r="A150" s="7" t="s">
        <v>546</v>
      </c>
      <c r="B150" s="6">
        <f>240000+93500+13500+25000+1400250+567000+47250+112500</f>
        <v>2499000</v>
      </c>
      <c r="F150" s="6">
        <f>1955536</f>
        <v>1955536</v>
      </c>
    </row>
    <row r="151" spans="1:6" ht="12.75">
      <c r="A151" s="7" t="s">
        <v>559</v>
      </c>
      <c r="F151" s="6">
        <v>123431</v>
      </c>
    </row>
    <row r="152" spans="1:6" ht="12.75">
      <c r="A152" s="7" t="s">
        <v>266</v>
      </c>
      <c r="F152" s="6">
        <v>0</v>
      </c>
    </row>
    <row r="153" spans="1:6" ht="12.75">
      <c r="A153" s="7" t="s">
        <v>548</v>
      </c>
      <c r="B153" s="6">
        <v>500000</v>
      </c>
      <c r="F153" s="6">
        <v>0</v>
      </c>
    </row>
    <row r="154" spans="1:6" ht="12.75">
      <c r="A154" s="7" t="s">
        <v>549</v>
      </c>
      <c r="B154" s="6">
        <f>1180000-600000-300000-22500-10000</f>
        <v>247500</v>
      </c>
      <c r="F154" s="6">
        <v>0</v>
      </c>
    </row>
    <row r="155" spans="1:6" ht="12.75">
      <c r="A155" s="7" t="s">
        <v>555</v>
      </c>
      <c r="B155" s="6">
        <f>33750</f>
        <v>33750</v>
      </c>
      <c r="F155" s="6">
        <v>0</v>
      </c>
    </row>
    <row r="156" spans="1:6" ht="12.75">
      <c r="A156" s="7" t="s">
        <v>556</v>
      </c>
      <c r="B156" s="6">
        <f>25000</f>
        <v>25000</v>
      </c>
      <c r="F156" s="6">
        <v>15056</v>
      </c>
    </row>
    <row r="157" spans="1:6" ht="12.75">
      <c r="A157" s="7" t="s">
        <v>558</v>
      </c>
      <c r="F157" s="6">
        <v>98609</v>
      </c>
    </row>
    <row r="158" spans="1:6" ht="12.75">
      <c r="A158" s="7" t="s">
        <v>515</v>
      </c>
      <c r="F158" s="6">
        <v>19451503</v>
      </c>
    </row>
    <row r="159" spans="1:6" ht="12.75">
      <c r="A159" s="7" t="s">
        <v>562</v>
      </c>
      <c r="B159" s="6">
        <f>1028917-B163</f>
        <v>962250</v>
      </c>
      <c r="F159" s="6">
        <v>0</v>
      </c>
    </row>
    <row r="160" spans="1:6" ht="12.75">
      <c r="A160" s="7" t="s">
        <v>564</v>
      </c>
      <c r="B160" s="33"/>
      <c r="F160" s="6">
        <v>0</v>
      </c>
    </row>
    <row r="161" spans="1:6" ht="12.75">
      <c r="A161" s="7" t="s">
        <v>567</v>
      </c>
      <c r="F161" s="33">
        <v>0</v>
      </c>
    </row>
    <row r="162" spans="1:6" ht="12.75">
      <c r="A162" s="7" t="s">
        <v>574</v>
      </c>
      <c r="F162" s="33">
        <v>0</v>
      </c>
    </row>
    <row r="163" spans="1:8" ht="12.75">
      <c r="A163" s="7" t="s">
        <v>575</v>
      </c>
      <c r="B163" s="6">
        <v>66667</v>
      </c>
      <c r="F163" s="33">
        <v>0</v>
      </c>
      <c r="H163" s="45"/>
    </row>
    <row r="164" spans="1:6" ht="12.75">
      <c r="A164" s="7" t="s">
        <v>579</v>
      </c>
      <c r="B164" s="33"/>
      <c r="F164" s="6">
        <v>0</v>
      </c>
    </row>
    <row r="165" ht="12.75">
      <c r="B165" s="33"/>
    </row>
    <row r="166" spans="1:6" ht="16.5">
      <c r="A166" s="5" t="s">
        <v>580</v>
      </c>
      <c r="B166" s="46">
        <f>SUM(B148:B164)</f>
        <v>4406667</v>
      </c>
      <c r="C166" s="48"/>
      <c r="D166" s="46">
        <f>SUM(D148:D164)</f>
        <v>0</v>
      </c>
      <c r="E166" s="48"/>
      <c r="F166" s="46">
        <f>SUM(F148:F164)</f>
        <v>21688100</v>
      </c>
    </row>
    <row r="167" ht="12.75">
      <c r="B167" s="33"/>
    </row>
    <row r="168" spans="1:6" ht="16.5">
      <c r="A168" s="7" t="s">
        <v>589</v>
      </c>
      <c r="B168" s="46">
        <f>B166+B145+B141</f>
        <v>28074167</v>
      </c>
      <c r="C168" s="48"/>
      <c r="D168" s="46">
        <f>D166+D145+D139+D138+D137+D135+D134+D133+D132+D131+D130</f>
        <v>0</v>
      </c>
      <c r="E168" s="48"/>
      <c r="F168" s="46">
        <f>F166+F145+F141</f>
        <v>28365784.439999998</v>
      </c>
    </row>
    <row r="169" ht="12.75">
      <c r="B169" s="33"/>
    </row>
    <row r="170" spans="1:6" ht="12.75">
      <c r="A170" s="5" t="s">
        <v>539</v>
      </c>
      <c r="B170" s="33"/>
      <c r="F170" s="33"/>
    </row>
    <row r="171" spans="1:6" ht="12.75">
      <c r="A171" s="7" t="s">
        <v>488</v>
      </c>
      <c r="B171" s="33"/>
      <c r="F171" s="6">
        <v>662115</v>
      </c>
    </row>
    <row r="172" spans="1:10" ht="12.75">
      <c r="A172" s="7" t="s">
        <v>502</v>
      </c>
      <c r="B172" s="33"/>
      <c r="F172" s="6">
        <v>100554.31</v>
      </c>
      <c r="J172" s="45"/>
    </row>
    <row r="173" spans="1:2" ht="12.75">
      <c r="A173" s="7" t="s">
        <v>578</v>
      </c>
      <c r="B173" s="33"/>
    </row>
    <row r="174" spans="1:6" ht="16.5">
      <c r="A174" s="5" t="s">
        <v>590</v>
      </c>
      <c r="B174" s="48">
        <f>SUM(B171:B173)</f>
        <v>0</v>
      </c>
      <c r="C174" s="48"/>
      <c r="D174" s="48">
        <f>SUM(D171:D173)</f>
        <v>0</v>
      </c>
      <c r="E174" s="48"/>
      <c r="F174" s="46">
        <f>SUM(F171:F173)</f>
        <v>762669.31</v>
      </c>
    </row>
    <row r="176" ht="12.75">
      <c r="A176" s="5" t="s">
        <v>542</v>
      </c>
    </row>
    <row r="177" spans="1:10" ht="12.75">
      <c r="A177" s="7" t="s">
        <v>543</v>
      </c>
      <c r="F177" s="6">
        <v>18745.2</v>
      </c>
      <c r="J177" s="45"/>
    </row>
    <row r="178" spans="1:10" ht="12.75">
      <c r="A178" s="7" t="s">
        <v>544</v>
      </c>
      <c r="F178" s="6">
        <f>59330+21531</f>
        <v>80861</v>
      </c>
      <c r="J178" s="45"/>
    </row>
    <row r="179" spans="1:10" ht="12.75">
      <c r="A179" s="7" t="s">
        <v>560</v>
      </c>
      <c r="B179" s="6">
        <f>276500-37500-50000+20000+1137500-192500-175000+10000</f>
        <v>989000</v>
      </c>
      <c r="F179" s="6">
        <f>76710+1883+185</f>
        <v>78778</v>
      </c>
      <c r="J179" s="45"/>
    </row>
    <row r="180" spans="1:10" ht="12.75">
      <c r="A180" s="7" t="s">
        <v>577</v>
      </c>
      <c r="B180" s="6">
        <f>25000+1690000</f>
        <v>1715000</v>
      </c>
      <c r="F180" s="6">
        <f>128900+158044+2803421</f>
        <v>3090365</v>
      </c>
      <c r="J180" s="45"/>
    </row>
    <row r="181" spans="1:10" ht="12.75">
      <c r="A181" s="7" t="s">
        <v>187</v>
      </c>
      <c r="F181" s="6">
        <v>275595</v>
      </c>
      <c r="J181" s="45"/>
    </row>
    <row r="182" spans="1:10" ht="12.75">
      <c r="A182" s="7" t="s">
        <v>552</v>
      </c>
      <c r="F182" s="6">
        <v>12330</v>
      </c>
      <c r="J182" s="45"/>
    </row>
    <row r="183" spans="1:11" ht="12.75">
      <c r="A183" s="7" t="s">
        <v>553</v>
      </c>
      <c r="B183" s="6">
        <f>500000+100000</f>
        <v>600000</v>
      </c>
      <c r="F183" s="6">
        <v>96072</v>
      </c>
      <c r="J183" s="45"/>
      <c r="K183" s="45"/>
    </row>
    <row r="184" spans="1:10" ht="12.75">
      <c r="A184" s="7" t="s">
        <v>573</v>
      </c>
      <c r="F184" s="6">
        <v>88595</v>
      </c>
      <c r="J184" s="45"/>
    </row>
    <row r="185" spans="1:11" ht="12.75">
      <c r="A185" s="7" t="s">
        <v>554</v>
      </c>
      <c r="B185" s="6">
        <f>30000+10000+3082500</f>
        <v>3122500</v>
      </c>
      <c r="F185" s="6">
        <f>13954+101452</f>
        <v>115406</v>
      </c>
      <c r="J185" s="45"/>
      <c r="K185" s="131"/>
    </row>
    <row r="186" spans="1:10" ht="12.75">
      <c r="A186" s="7" t="s">
        <v>557</v>
      </c>
      <c r="F186" s="6">
        <v>17700</v>
      </c>
      <c r="J186" s="45"/>
    </row>
    <row r="187" spans="1:10" ht="12.75">
      <c r="A187" s="7" t="s">
        <v>367</v>
      </c>
      <c r="F187" s="6">
        <f>715+10168</f>
        <v>10883</v>
      </c>
      <c r="J187" s="45"/>
    </row>
    <row r="188" spans="1:10" ht="12.75">
      <c r="A188" s="7" t="s">
        <v>569</v>
      </c>
      <c r="F188" s="6">
        <v>315</v>
      </c>
      <c r="J188" s="45"/>
    </row>
    <row r="189" spans="1:6" ht="12.75">
      <c r="A189" s="7" t="s">
        <v>561</v>
      </c>
      <c r="B189" s="6">
        <f>37500+50000+192500+175000</f>
        <v>455000</v>
      </c>
      <c r="F189" s="6">
        <v>54743</v>
      </c>
    </row>
    <row r="190" spans="1:6" ht="12.75">
      <c r="A190" s="7" t="s">
        <v>382</v>
      </c>
      <c r="B190" s="33"/>
      <c r="F190" s="6">
        <v>30463.5</v>
      </c>
    </row>
    <row r="191" spans="1:6" ht="12.75">
      <c r="A191" s="7" t="s">
        <v>450</v>
      </c>
      <c r="B191" s="33"/>
      <c r="F191" s="6">
        <v>0</v>
      </c>
    </row>
    <row r="192" spans="1:6" ht="12.75">
      <c r="A192" s="7" t="s">
        <v>576</v>
      </c>
      <c r="B192" s="33"/>
      <c r="F192" s="6">
        <v>50105</v>
      </c>
    </row>
    <row r="193" spans="1:6" ht="12.75">
      <c r="A193" s="7" t="s">
        <v>166</v>
      </c>
      <c r="B193" s="6">
        <f>50000+100000+100000</f>
        <v>250000</v>
      </c>
      <c r="F193" s="6">
        <f>366777.2</f>
        <v>366777.2</v>
      </c>
    </row>
    <row r="195" spans="1:6" ht="16.5">
      <c r="A195" s="5" t="s">
        <v>591</v>
      </c>
      <c r="B195" s="46">
        <f>SUM(B177:B193)</f>
        <v>7131500</v>
      </c>
      <c r="C195" s="48"/>
      <c r="D195" s="46">
        <f>SUM(D177:D193)</f>
        <v>0</v>
      </c>
      <c r="E195" s="48"/>
      <c r="F195" s="46">
        <f>SUM(F177:F193)</f>
        <v>4387733.9</v>
      </c>
    </row>
    <row r="196" spans="1:6" ht="16.5">
      <c r="A196" s="5"/>
      <c r="B196" s="46"/>
      <c r="C196" s="48"/>
      <c r="D196" s="46"/>
      <c r="E196" s="48"/>
      <c r="F196" s="46"/>
    </row>
    <row r="197" spans="1:6" ht="16.5">
      <c r="A197" s="5" t="s">
        <v>534</v>
      </c>
      <c r="B197" s="46"/>
      <c r="C197" s="48"/>
      <c r="D197" s="46"/>
      <c r="E197" s="48"/>
      <c r="F197" s="46">
        <f>1000000</f>
        <v>1000000</v>
      </c>
    </row>
    <row r="198" spans="1:2" ht="12.75">
      <c r="A198" s="5"/>
      <c r="B198" s="33"/>
    </row>
    <row r="199" spans="1:10" ht="12.75">
      <c r="A199" s="7" t="s">
        <v>366</v>
      </c>
      <c r="B199" s="33"/>
      <c r="F199" s="6">
        <v>236520</v>
      </c>
      <c r="J199" s="49"/>
    </row>
    <row r="200" ht="12.75">
      <c r="A200" s="7" t="s">
        <v>188</v>
      </c>
    </row>
    <row r="202" spans="1:10" ht="13.5" thickBot="1">
      <c r="A202" s="170" t="s">
        <v>381</v>
      </c>
      <c r="B202" s="188">
        <f>B200+B199+B195+B174+B168+B126+B30+B22</f>
        <v>57232717</v>
      </c>
      <c r="D202" s="188">
        <f>D200+D199+D195+D174+D168+D126+D30+D22</f>
        <v>15939000</v>
      </c>
      <c r="F202" s="188">
        <f>F200+F199+F195+F174+F168+F126+F30+F22+F197</f>
        <v>46938721.82</v>
      </c>
      <c r="H202" s="4"/>
      <c r="J202" s="4"/>
    </row>
    <row r="203" ht="13.5" thickTop="1"/>
    <row r="204" ht="12.75">
      <c r="B204" s="6">
        <v>0</v>
      </c>
    </row>
    <row r="205" ht="17.25">
      <c r="A205" s="53"/>
    </row>
    <row r="206" spans="4:10" ht="12.75">
      <c r="D206" s="6" t="s">
        <v>723</v>
      </c>
      <c r="J206" s="54"/>
    </row>
  </sheetData>
  <sheetProtection/>
  <mergeCells count="2">
    <mergeCell ref="A1:B1"/>
    <mergeCell ref="A2:A3"/>
  </mergeCells>
  <printOptions gridLines="1"/>
  <pageMargins left="0.75" right="0.75" top="0.44" bottom="0.41" header="0.24" footer="0.23"/>
  <pageSetup fitToHeight="2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0"/>
  <sheetViews>
    <sheetView zoomScale="85" zoomScaleNormal="85" zoomScalePageLayoutView="0" workbookViewId="0" topLeftCell="A1">
      <pane xSplit="4" ySplit="4" topLeftCell="E5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D13" sqref="D13"/>
    </sheetView>
  </sheetViews>
  <sheetFormatPr defaultColWidth="8.8515625" defaultRowHeight="12.75"/>
  <cols>
    <col min="1" max="1" width="33.7109375" style="20" customWidth="1"/>
    <col min="2" max="2" width="5.7109375" style="20" hidden="1" customWidth="1"/>
    <col min="3" max="3" width="8.140625" style="20" hidden="1" customWidth="1"/>
    <col min="4" max="4" width="15.140625" style="15" bestFit="1" customWidth="1"/>
    <col min="5" max="5" width="1.7109375" style="15" customWidth="1"/>
    <col min="6" max="6" width="14.00390625" style="63" customWidth="1"/>
    <col min="7" max="7" width="2.140625" style="15" customWidth="1"/>
    <col min="8" max="8" width="15.57421875" style="15" customWidth="1"/>
    <col min="9" max="9" width="1.8515625" style="20" customWidth="1"/>
    <col min="10" max="10" width="13.8515625" style="20" bestFit="1" customWidth="1"/>
    <col min="11" max="11" width="1.8515625" style="20" customWidth="1"/>
    <col min="12" max="12" width="14.7109375" style="20" bestFit="1" customWidth="1"/>
    <col min="13" max="13" width="8.8515625" style="20" customWidth="1"/>
    <col min="14" max="14" width="14.421875" style="20" bestFit="1" customWidth="1"/>
    <col min="15" max="16384" width="8.8515625" style="20" customWidth="1"/>
  </cols>
  <sheetData>
    <row r="1" spans="1:8" ht="12.75">
      <c r="A1" s="304" t="s">
        <v>189</v>
      </c>
      <c r="B1" s="304"/>
      <c r="C1" s="304"/>
      <c r="D1" s="304"/>
      <c r="E1" s="304"/>
      <c r="F1" s="55"/>
      <c r="G1" s="19"/>
      <c r="H1" s="56"/>
    </row>
    <row r="2" spans="1:8" ht="12.75">
      <c r="A2" s="304"/>
      <c r="B2" s="304"/>
      <c r="C2" s="304"/>
      <c r="D2" s="304"/>
      <c r="E2" s="304"/>
      <c r="F2" s="55"/>
      <c r="G2" s="19"/>
      <c r="H2" s="56"/>
    </row>
    <row r="3" spans="1:12" ht="12.75">
      <c r="A3" s="305" t="s">
        <v>152</v>
      </c>
      <c r="B3" s="19"/>
      <c r="C3" s="19"/>
      <c r="D3" s="27" t="s">
        <v>159</v>
      </c>
      <c r="F3" s="57" t="s">
        <v>167</v>
      </c>
      <c r="G3" s="27"/>
      <c r="H3" s="27" t="s">
        <v>168</v>
      </c>
      <c r="J3" s="58" t="s">
        <v>190</v>
      </c>
      <c r="L3" s="19" t="s">
        <v>170</v>
      </c>
    </row>
    <row r="4" spans="1:12" ht="12.75">
      <c r="A4" s="306"/>
      <c r="B4" s="19"/>
      <c r="C4" s="19"/>
      <c r="D4" s="13" t="s">
        <v>171</v>
      </c>
      <c r="E4" s="27"/>
      <c r="F4" s="59" t="s">
        <v>171</v>
      </c>
      <c r="G4" s="13"/>
      <c r="H4" s="60" t="s">
        <v>368</v>
      </c>
      <c r="J4" s="61" t="s">
        <v>172</v>
      </c>
      <c r="L4" s="12" t="s">
        <v>351</v>
      </c>
    </row>
    <row r="5" ht="12.75">
      <c r="A5" s="95" t="s">
        <v>191</v>
      </c>
    </row>
    <row r="6" spans="1:12" ht="12.75">
      <c r="A6" s="20" t="s">
        <v>192</v>
      </c>
      <c r="D6" s="63">
        <v>3500000</v>
      </c>
      <c r="F6" s="63">
        <v>3500000</v>
      </c>
      <c r="H6" s="15">
        <v>3500000</v>
      </c>
      <c r="J6" s="64">
        <f>F6-H6</f>
        <v>0</v>
      </c>
      <c r="L6" s="64">
        <f>D6-F6</f>
        <v>0</v>
      </c>
    </row>
    <row r="7" spans="1:12" ht="12.75">
      <c r="A7" s="20" t="s">
        <v>357</v>
      </c>
      <c r="D7" s="63">
        <v>750000</v>
      </c>
      <c r="F7" s="63">
        <v>750000</v>
      </c>
      <c r="H7" s="15">
        <v>723000</v>
      </c>
      <c r="J7" s="64">
        <f>F7-H7</f>
        <v>27000</v>
      </c>
      <c r="L7" s="64">
        <f>D7-F7</f>
        <v>0</v>
      </c>
    </row>
    <row r="8" spans="1:12" ht="12.75">
      <c r="A8" s="20" t="s">
        <v>195</v>
      </c>
      <c r="D8" s="63">
        <v>3500000</v>
      </c>
      <c r="F8" s="63">
        <v>3500000</v>
      </c>
      <c r="H8" s="15">
        <v>3500000</v>
      </c>
      <c r="J8" s="64">
        <f>F8-H8</f>
        <v>0</v>
      </c>
      <c r="L8" s="64">
        <f>D8-F8</f>
        <v>0</v>
      </c>
    </row>
    <row r="9" spans="1:12" ht="12.75">
      <c r="A9" s="20" t="s">
        <v>194</v>
      </c>
      <c r="D9" s="63">
        <v>400000</v>
      </c>
      <c r="F9" s="63">
        <v>400000</v>
      </c>
      <c r="H9" s="15">
        <v>400000</v>
      </c>
      <c r="J9" s="64">
        <f>F9-H9</f>
        <v>0</v>
      </c>
      <c r="L9" s="64">
        <f>D9-F9</f>
        <v>0</v>
      </c>
    </row>
    <row r="10" spans="1:12" ht="12.75">
      <c r="A10" s="20" t="s">
        <v>193</v>
      </c>
      <c r="D10" s="63">
        <v>3600000</v>
      </c>
      <c r="F10" s="63">
        <v>3600000</v>
      </c>
      <c r="H10" s="15">
        <v>3600000</v>
      </c>
      <c r="J10" s="64">
        <f>F10-H10</f>
        <v>0</v>
      </c>
      <c r="L10" s="64">
        <f>D10-F10</f>
        <v>0</v>
      </c>
    </row>
    <row r="11" spans="4:12" ht="12.75">
      <c r="D11" s="63"/>
      <c r="J11" s="64"/>
      <c r="L11" s="64"/>
    </row>
    <row r="12" spans="4:12" ht="12.75">
      <c r="D12" s="65">
        <f>SUM(D6:D10)</f>
        <v>11750000</v>
      </c>
      <c r="E12" s="65"/>
      <c r="F12" s="57"/>
      <c r="G12" s="65"/>
      <c r="H12" s="65">
        <f>SUM(H6:H10)</f>
        <v>11723000</v>
      </c>
      <c r="J12" s="65">
        <f>SUM(J6:J10)</f>
        <v>27000</v>
      </c>
      <c r="L12" s="65">
        <f>SUM(L6:L10)</f>
        <v>0</v>
      </c>
    </row>
    <row r="13" ht="12.75">
      <c r="A13" s="95" t="s">
        <v>196</v>
      </c>
    </row>
    <row r="14" spans="1:12" ht="12.75">
      <c r="A14" s="66" t="s">
        <v>197</v>
      </c>
      <c r="D14" s="63">
        <v>10000</v>
      </c>
      <c r="E14" s="65"/>
      <c r="F14" s="63">
        <v>10000</v>
      </c>
      <c r="G14" s="65"/>
      <c r="H14" s="15">
        <v>5000</v>
      </c>
      <c r="J14" s="64">
        <f>F14-H14</f>
        <v>5000</v>
      </c>
      <c r="L14" s="64">
        <f>D14-F14</f>
        <v>0</v>
      </c>
    </row>
    <row r="15" spans="1:12" ht="12.75">
      <c r="A15" s="67" t="s">
        <v>210</v>
      </c>
      <c r="D15" s="63"/>
      <c r="E15" s="65"/>
      <c r="F15" s="63" t="s">
        <v>274</v>
      </c>
      <c r="G15" s="65"/>
      <c r="H15" s="63">
        <v>40000</v>
      </c>
      <c r="J15" s="64">
        <v>0</v>
      </c>
      <c r="L15" s="64">
        <v>0</v>
      </c>
    </row>
    <row r="16" spans="1:12" ht="12.75">
      <c r="A16" s="68" t="s">
        <v>198</v>
      </c>
      <c r="D16" s="63">
        <v>30000</v>
      </c>
      <c r="E16" s="65"/>
      <c r="F16" s="63">
        <v>30000</v>
      </c>
      <c r="G16" s="65"/>
      <c r="H16" s="15">
        <v>30000</v>
      </c>
      <c r="J16" s="64">
        <f>F16-H16</f>
        <v>0</v>
      </c>
      <c r="L16" s="64">
        <f>D16-F16</f>
        <v>0</v>
      </c>
    </row>
    <row r="17" spans="1:12" ht="12.75">
      <c r="A17" s="67" t="s">
        <v>211</v>
      </c>
      <c r="D17" s="63"/>
      <c r="E17" s="65"/>
      <c r="F17" s="63">
        <v>75000</v>
      </c>
      <c r="G17" s="65"/>
      <c r="H17" s="63">
        <v>75000</v>
      </c>
      <c r="J17" s="64">
        <f>F17-H17</f>
        <v>0</v>
      </c>
      <c r="L17" s="64">
        <v>0</v>
      </c>
    </row>
    <row r="18" spans="1:12" ht="12.75">
      <c r="A18" s="68" t="s">
        <v>199</v>
      </c>
      <c r="D18" s="63">
        <v>30000</v>
      </c>
      <c r="E18" s="65"/>
      <c r="F18" s="63">
        <v>30000</v>
      </c>
      <c r="G18" s="65"/>
      <c r="H18" s="15">
        <v>30000</v>
      </c>
      <c r="J18" s="64">
        <f>F18-H18</f>
        <v>0</v>
      </c>
      <c r="L18" s="64">
        <f>D18-F18</f>
        <v>0</v>
      </c>
    </row>
    <row r="19" spans="1:12" ht="12.75">
      <c r="A19" s="67" t="s">
        <v>213</v>
      </c>
      <c r="D19" s="63"/>
      <c r="E19" s="65"/>
      <c r="F19" s="63" t="s">
        <v>95</v>
      </c>
      <c r="G19" s="65"/>
      <c r="H19" s="15">
        <v>6200</v>
      </c>
      <c r="J19" s="64">
        <v>0</v>
      </c>
      <c r="L19" s="64">
        <v>0</v>
      </c>
    </row>
    <row r="20" spans="1:12" ht="12.75">
      <c r="A20" s="67" t="s">
        <v>212</v>
      </c>
      <c r="D20" s="63"/>
      <c r="E20" s="65"/>
      <c r="F20" s="63">
        <v>25000</v>
      </c>
      <c r="G20" s="65"/>
      <c r="H20" s="15">
        <v>25000</v>
      </c>
      <c r="J20" s="64">
        <f aca="true" t="shared" si="0" ref="J20:J27">F20-H20</f>
        <v>0</v>
      </c>
      <c r="L20" s="64">
        <v>0</v>
      </c>
    </row>
    <row r="21" spans="1:12" ht="12.75">
      <c r="A21" s="68" t="s">
        <v>200</v>
      </c>
      <c r="D21" s="63">
        <v>30000</v>
      </c>
      <c r="E21" s="65"/>
      <c r="F21" s="63">
        <v>30000</v>
      </c>
      <c r="G21" s="65"/>
      <c r="H21" s="15">
        <v>30000</v>
      </c>
      <c r="J21" s="64">
        <f t="shared" si="0"/>
        <v>0</v>
      </c>
      <c r="L21" s="64">
        <f>D21-F21</f>
        <v>0</v>
      </c>
    </row>
    <row r="22" spans="1:12" ht="12.75">
      <c r="A22" s="67" t="s">
        <v>214</v>
      </c>
      <c r="D22" s="63"/>
      <c r="E22" s="65"/>
      <c r="F22" s="63">
        <v>75000</v>
      </c>
      <c r="G22" s="65"/>
      <c r="H22" s="15">
        <v>75000</v>
      </c>
      <c r="J22" s="64">
        <f t="shared" si="0"/>
        <v>0</v>
      </c>
      <c r="L22" s="64">
        <v>0</v>
      </c>
    </row>
    <row r="23" spans="1:12" ht="12.75">
      <c r="A23" s="67" t="s">
        <v>215</v>
      </c>
      <c r="D23" s="63"/>
      <c r="E23" s="65"/>
      <c r="F23" s="63">
        <v>30000</v>
      </c>
      <c r="G23" s="65"/>
      <c r="H23" s="15">
        <v>30000</v>
      </c>
      <c r="J23" s="64">
        <f t="shared" si="0"/>
        <v>0</v>
      </c>
      <c r="L23" s="64">
        <v>0</v>
      </c>
    </row>
    <row r="24" spans="1:12" ht="12.75">
      <c r="A24" s="67" t="s">
        <v>275</v>
      </c>
      <c r="D24" s="63"/>
      <c r="E24" s="65"/>
      <c r="F24" s="63" t="s">
        <v>276</v>
      </c>
      <c r="G24" s="65"/>
      <c r="H24" s="15">
        <v>30000</v>
      </c>
      <c r="J24" s="64">
        <v>0</v>
      </c>
      <c r="L24" s="64">
        <v>0</v>
      </c>
    </row>
    <row r="25" spans="1:12" ht="12.75">
      <c r="A25" s="69" t="s">
        <v>201</v>
      </c>
      <c r="D25" s="63">
        <v>200000</v>
      </c>
      <c r="E25" s="65"/>
      <c r="F25" s="63">
        <v>200000</v>
      </c>
      <c r="G25" s="65"/>
      <c r="H25" s="15">
        <v>200000</v>
      </c>
      <c r="J25" s="64">
        <f t="shared" si="0"/>
        <v>0</v>
      </c>
      <c r="L25" s="64">
        <f>D25-F25</f>
        <v>0</v>
      </c>
    </row>
    <row r="26" spans="1:12" ht="12.75">
      <c r="A26" s="67" t="s">
        <v>216</v>
      </c>
      <c r="D26" s="63"/>
      <c r="E26" s="65"/>
      <c r="F26" s="63">
        <v>50000</v>
      </c>
      <c r="G26" s="65"/>
      <c r="H26" s="15">
        <v>50000</v>
      </c>
      <c r="J26" s="64">
        <f t="shared" si="0"/>
        <v>0</v>
      </c>
      <c r="L26" s="64">
        <v>0</v>
      </c>
    </row>
    <row r="27" spans="1:12" ht="12.75">
      <c r="A27" s="68" t="s">
        <v>202</v>
      </c>
      <c r="D27" s="63">
        <v>7000</v>
      </c>
      <c r="E27" s="65"/>
      <c r="F27" s="63">
        <v>7000</v>
      </c>
      <c r="G27" s="65"/>
      <c r="H27" s="15">
        <v>7000</v>
      </c>
      <c r="J27" s="64">
        <f t="shared" si="0"/>
        <v>0</v>
      </c>
      <c r="L27" s="64">
        <f>D27-F27</f>
        <v>0</v>
      </c>
    </row>
    <row r="28" spans="1:12" ht="12.75">
      <c r="A28" s="67" t="s">
        <v>217</v>
      </c>
      <c r="D28" s="63"/>
      <c r="E28" s="65"/>
      <c r="F28" s="63" t="s">
        <v>277</v>
      </c>
      <c r="G28" s="65"/>
      <c r="H28" s="15">
        <v>40000</v>
      </c>
      <c r="J28" s="64">
        <v>0</v>
      </c>
      <c r="L28" s="64">
        <v>0</v>
      </c>
    </row>
    <row r="29" spans="1:12" ht="12.75">
      <c r="A29" s="67" t="s">
        <v>278</v>
      </c>
      <c r="D29" s="63"/>
      <c r="E29" s="65"/>
      <c r="F29" s="63" t="s">
        <v>279</v>
      </c>
      <c r="G29" s="65"/>
      <c r="H29" s="15">
        <v>20000</v>
      </c>
      <c r="J29" s="64">
        <v>0</v>
      </c>
      <c r="L29" s="64">
        <v>0</v>
      </c>
    </row>
    <row r="30" spans="1:12" ht="12.75">
      <c r="A30" s="67" t="s">
        <v>352</v>
      </c>
      <c r="D30" s="63"/>
      <c r="E30" s="65"/>
      <c r="F30" s="63" t="s">
        <v>277</v>
      </c>
      <c r="G30" s="65"/>
      <c r="H30" s="15">
        <v>5000</v>
      </c>
      <c r="J30" s="64">
        <v>0</v>
      </c>
      <c r="L30" s="64"/>
    </row>
    <row r="31" spans="1:12" ht="12.75">
      <c r="A31" s="67" t="s">
        <v>27</v>
      </c>
      <c r="D31" s="63"/>
      <c r="E31" s="65"/>
      <c r="F31" s="63">
        <v>40000</v>
      </c>
      <c r="G31" s="65"/>
      <c r="H31" s="15">
        <v>40000</v>
      </c>
      <c r="J31" s="64">
        <f>F31-H31</f>
        <v>0</v>
      </c>
      <c r="L31" s="64">
        <v>0</v>
      </c>
    </row>
    <row r="32" spans="1:12" ht="12.75">
      <c r="A32" s="67" t="s">
        <v>218</v>
      </c>
      <c r="D32" s="63"/>
      <c r="E32" s="65"/>
      <c r="F32" s="63">
        <v>35000</v>
      </c>
      <c r="G32" s="65"/>
      <c r="H32" s="15">
        <v>15000</v>
      </c>
      <c r="J32" s="64">
        <f>F32-H32</f>
        <v>20000</v>
      </c>
      <c r="L32" s="64">
        <v>0</v>
      </c>
    </row>
    <row r="33" spans="1:12" ht="12.75">
      <c r="A33" s="67" t="s">
        <v>219</v>
      </c>
      <c r="D33" s="63"/>
      <c r="E33" s="65"/>
      <c r="F33" s="63" t="s">
        <v>276</v>
      </c>
      <c r="G33" s="65"/>
      <c r="H33" s="15">
        <v>100000</v>
      </c>
      <c r="J33" s="64">
        <v>0</v>
      </c>
      <c r="L33" s="64">
        <v>0</v>
      </c>
    </row>
    <row r="34" spans="1:12" ht="12.75">
      <c r="A34" s="70" t="s">
        <v>303</v>
      </c>
      <c r="D34" s="63">
        <v>100000</v>
      </c>
      <c r="E34" s="65"/>
      <c r="F34" s="63">
        <v>100000</v>
      </c>
      <c r="G34" s="65"/>
      <c r="H34" s="15">
        <v>25000</v>
      </c>
      <c r="J34" s="64">
        <v>0</v>
      </c>
      <c r="L34" s="64">
        <v>0</v>
      </c>
    </row>
    <row r="35" spans="1:12" ht="12.75">
      <c r="A35" s="67" t="s">
        <v>220</v>
      </c>
      <c r="D35" s="63"/>
      <c r="E35" s="65"/>
      <c r="F35" s="63" t="s">
        <v>280</v>
      </c>
      <c r="G35" s="65"/>
      <c r="H35" s="15">
        <v>88000</v>
      </c>
      <c r="J35" s="64">
        <v>0</v>
      </c>
      <c r="L35" s="64">
        <v>0</v>
      </c>
    </row>
    <row r="36" spans="1:12" ht="12.75">
      <c r="A36" s="67" t="s">
        <v>221</v>
      </c>
      <c r="D36" s="63"/>
      <c r="E36" s="65"/>
      <c r="F36" s="63" t="s">
        <v>277</v>
      </c>
      <c r="G36" s="65"/>
      <c r="H36" s="15">
        <v>5000</v>
      </c>
      <c r="J36" s="64">
        <v>0</v>
      </c>
      <c r="L36" s="64">
        <v>0</v>
      </c>
    </row>
    <row r="37" spans="1:12" ht="12.75">
      <c r="A37" s="67" t="s">
        <v>281</v>
      </c>
      <c r="D37" s="63"/>
      <c r="E37" s="65"/>
      <c r="F37" s="63" t="s">
        <v>282</v>
      </c>
      <c r="G37" s="65"/>
      <c r="H37" s="15">
        <v>1500</v>
      </c>
      <c r="J37" s="64">
        <v>0</v>
      </c>
      <c r="L37" s="64">
        <v>0</v>
      </c>
    </row>
    <row r="38" spans="1:12" ht="12.75">
      <c r="A38" s="68" t="s">
        <v>203</v>
      </c>
      <c r="D38" s="63">
        <v>30000</v>
      </c>
      <c r="E38" s="65"/>
      <c r="F38" s="63">
        <v>30000</v>
      </c>
      <c r="G38" s="65"/>
      <c r="H38" s="15">
        <v>30000</v>
      </c>
      <c r="J38" s="64">
        <f>F38-H38</f>
        <v>0</v>
      </c>
      <c r="L38" s="64">
        <f>D38-F38</f>
        <v>0</v>
      </c>
    </row>
    <row r="39" spans="1:12" ht="12.75">
      <c r="A39" s="67" t="s">
        <v>222</v>
      </c>
      <c r="D39" s="63"/>
      <c r="E39" s="65"/>
      <c r="F39" s="63" t="s">
        <v>276</v>
      </c>
      <c r="G39" s="65"/>
      <c r="H39" s="15">
        <v>60000</v>
      </c>
      <c r="J39" s="64">
        <v>0</v>
      </c>
      <c r="L39" s="64">
        <v>0</v>
      </c>
    </row>
    <row r="40" spans="1:12" ht="12.75">
      <c r="A40" s="68" t="s">
        <v>204</v>
      </c>
      <c r="D40" s="63">
        <v>30000</v>
      </c>
      <c r="E40" s="65"/>
      <c r="F40" s="63">
        <v>30000</v>
      </c>
      <c r="G40" s="65"/>
      <c r="H40" s="15">
        <v>30000</v>
      </c>
      <c r="J40" s="64">
        <f>F40-H40</f>
        <v>0</v>
      </c>
      <c r="L40" s="64">
        <f>D40-F40</f>
        <v>0</v>
      </c>
    </row>
    <row r="41" spans="1:12" ht="12.75">
      <c r="A41" s="67" t="s">
        <v>223</v>
      </c>
      <c r="D41" s="63"/>
      <c r="E41" s="65"/>
      <c r="F41" s="63" t="s">
        <v>283</v>
      </c>
      <c r="G41" s="65"/>
      <c r="H41" s="15">
        <v>42000</v>
      </c>
      <c r="J41" s="64">
        <v>42000</v>
      </c>
      <c r="L41" s="64">
        <v>0</v>
      </c>
    </row>
    <row r="42" spans="1:12" ht="12.75">
      <c r="A42" s="67" t="s">
        <v>224</v>
      </c>
      <c r="D42" s="63"/>
      <c r="E42" s="65"/>
      <c r="F42" s="63" t="s">
        <v>284</v>
      </c>
      <c r="G42" s="65"/>
      <c r="H42" s="15">
        <v>100000</v>
      </c>
      <c r="J42" s="64">
        <v>0</v>
      </c>
      <c r="L42" s="64">
        <v>0</v>
      </c>
    </row>
    <row r="43" spans="1:12" ht="12.75">
      <c r="A43" s="69" t="s">
        <v>304</v>
      </c>
      <c r="D43" s="63">
        <v>150000</v>
      </c>
      <c r="E43" s="65"/>
      <c r="F43" s="63">
        <v>150000</v>
      </c>
      <c r="G43" s="65"/>
      <c r="H43" s="15">
        <v>25000</v>
      </c>
      <c r="J43" s="64">
        <v>0</v>
      </c>
      <c r="L43" s="64">
        <v>0</v>
      </c>
    </row>
    <row r="44" spans="1:12" ht="12.75">
      <c r="A44" s="68" t="s">
        <v>205</v>
      </c>
      <c r="D44" s="63">
        <v>15000</v>
      </c>
      <c r="E44" s="65"/>
      <c r="F44" s="63">
        <v>30000</v>
      </c>
      <c r="G44" s="65"/>
      <c r="H44" s="15">
        <v>20000</v>
      </c>
      <c r="J44" s="64">
        <f>F44-H44</f>
        <v>10000</v>
      </c>
      <c r="L44" s="64">
        <v>0</v>
      </c>
    </row>
    <row r="45" spans="1:12" ht="12.75">
      <c r="A45" s="69" t="s">
        <v>206</v>
      </c>
      <c r="D45" s="63">
        <v>30000</v>
      </c>
      <c r="E45" s="65"/>
      <c r="F45" s="63">
        <v>30000</v>
      </c>
      <c r="G45" s="65"/>
      <c r="H45" s="15">
        <v>10000</v>
      </c>
      <c r="J45" s="64">
        <f>F45-H45</f>
        <v>20000</v>
      </c>
      <c r="L45" s="64">
        <f>D45-F45</f>
        <v>0</v>
      </c>
    </row>
    <row r="46" spans="1:12" ht="12.75">
      <c r="A46" s="67" t="s">
        <v>225</v>
      </c>
      <c r="D46" s="63"/>
      <c r="E46" s="65"/>
      <c r="F46" s="63" t="s">
        <v>277</v>
      </c>
      <c r="G46" s="65"/>
      <c r="H46" s="15">
        <v>55000</v>
      </c>
      <c r="J46" s="64">
        <v>0</v>
      </c>
      <c r="L46" s="64">
        <v>0</v>
      </c>
    </row>
    <row r="47" spans="1:12" ht="12.75">
      <c r="A47" s="67" t="s">
        <v>226</v>
      </c>
      <c r="D47" s="63"/>
      <c r="E47" s="65"/>
      <c r="F47" s="63">
        <v>200000</v>
      </c>
      <c r="G47" s="65"/>
      <c r="H47" s="15">
        <v>25000</v>
      </c>
      <c r="J47" s="64">
        <f>F47-H47</f>
        <v>175000</v>
      </c>
      <c r="L47" s="64">
        <v>0</v>
      </c>
    </row>
    <row r="48" spans="1:12" ht="12.75">
      <c r="A48" s="70" t="s">
        <v>207</v>
      </c>
      <c r="D48" s="63">
        <v>200000</v>
      </c>
      <c r="E48" s="65"/>
      <c r="F48" s="63">
        <v>200000</v>
      </c>
      <c r="G48" s="65"/>
      <c r="H48" s="15">
        <v>200000</v>
      </c>
      <c r="J48" s="64">
        <f>F48-H48</f>
        <v>0</v>
      </c>
      <c r="L48" s="64">
        <f>D48-F48</f>
        <v>0</v>
      </c>
    </row>
    <row r="49" spans="1:12" ht="12.75">
      <c r="A49" s="68" t="s">
        <v>208</v>
      </c>
      <c r="D49" s="63">
        <v>30000</v>
      </c>
      <c r="E49" s="65"/>
      <c r="F49" s="63">
        <v>30000</v>
      </c>
      <c r="G49" s="65"/>
      <c r="H49" s="15">
        <v>30000</v>
      </c>
      <c r="J49" s="64">
        <f>F49-H49</f>
        <v>0</v>
      </c>
      <c r="L49" s="64">
        <f>D49-F49</f>
        <v>0</v>
      </c>
    </row>
    <row r="50" spans="1:12" ht="12.75">
      <c r="A50" s="67" t="s">
        <v>227</v>
      </c>
      <c r="D50" s="63"/>
      <c r="E50" s="65"/>
      <c r="F50" s="63" t="s">
        <v>274</v>
      </c>
      <c r="G50" s="65"/>
      <c r="H50" s="15">
        <v>40000</v>
      </c>
      <c r="J50" s="64">
        <v>0</v>
      </c>
      <c r="L50" s="64">
        <v>0</v>
      </c>
    </row>
    <row r="51" spans="1:12" ht="12.75">
      <c r="A51" s="68" t="s">
        <v>209</v>
      </c>
      <c r="D51" s="63">
        <v>20000</v>
      </c>
      <c r="E51" s="65"/>
      <c r="F51" s="63">
        <v>20000</v>
      </c>
      <c r="G51" s="65"/>
      <c r="H51" s="15">
        <v>10000</v>
      </c>
      <c r="J51" s="64">
        <f>F51-H51</f>
        <v>10000</v>
      </c>
      <c r="L51" s="64">
        <f>D51-F51</f>
        <v>0</v>
      </c>
    </row>
    <row r="52" spans="1:12" ht="12.75">
      <c r="A52" s="67" t="s">
        <v>96</v>
      </c>
      <c r="D52" s="63"/>
      <c r="E52" s="65"/>
      <c r="F52" s="63">
        <v>75000</v>
      </c>
      <c r="G52" s="65"/>
      <c r="J52" s="64">
        <f>F52-H52</f>
        <v>75000</v>
      </c>
      <c r="L52" s="64">
        <v>0</v>
      </c>
    </row>
    <row r="53" spans="1:12" ht="12.75">
      <c r="A53" s="68" t="s">
        <v>298</v>
      </c>
      <c r="D53" s="63">
        <v>30000</v>
      </c>
      <c r="E53" s="65"/>
      <c r="F53" s="63">
        <v>0</v>
      </c>
      <c r="G53" s="65"/>
      <c r="H53" s="15">
        <v>0</v>
      </c>
      <c r="J53" s="64">
        <f>F53-H53</f>
        <v>0</v>
      </c>
      <c r="L53" s="64">
        <f>D53-F53</f>
        <v>30000</v>
      </c>
    </row>
    <row r="54" spans="1:12" ht="12.75">
      <c r="A54" s="69" t="s">
        <v>297</v>
      </c>
      <c r="D54" s="63">
        <v>200000</v>
      </c>
      <c r="E54" s="65"/>
      <c r="F54" s="63">
        <v>150000</v>
      </c>
      <c r="G54" s="65"/>
      <c r="H54" s="15">
        <v>0</v>
      </c>
      <c r="J54" s="64">
        <v>0</v>
      </c>
      <c r="L54" s="64">
        <f>D54-H54-J54</f>
        <v>200000</v>
      </c>
    </row>
    <row r="55" spans="1:12" ht="12.75">
      <c r="A55" s="68" t="s">
        <v>299</v>
      </c>
      <c r="D55" s="63">
        <v>35000</v>
      </c>
      <c r="E55" s="65"/>
      <c r="F55" s="63">
        <v>0</v>
      </c>
      <c r="G55" s="65"/>
      <c r="H55" s="15">
        <v>0</v>
      </c>
      <c r="J55" s="64">
        <f aca="true" t="shared" si="1" ref="J55:J62">F55-H55</f>
        <v>0</v>
      </c>
      <c r="L55" s="64">
        <f aca="true" t="shared" si="2" ref="L55:L61">D55-F55</f>
        <v>35000</v>
      </c>
    </row>
    <row r="56" spans="1:12" ht="12.75">
      <c r="A56" s="71" t="s">
        <v>300</v>
      </c>
      <c r="D56" s="63">
        <v>20000</v>
      </c>
      <c r="E56" s="65"/>
      <c r="F56" s="63">
        <v>0</v>
      </c>
      <c r="G56" s="65"/>
      <c r="H56" s="15">
        <v>0</v>
      </c>
      <c r="J56" s="64">
        <f t="shared" si="1"/>
        <v>0</v>
      </c>
      <c r="L56" s="64">
        <f t="shared" si="2"/>
        <v>20000</v>
      </c>
    </row>
    <row r="57" spans="1:12" ht="12.75">
      <c r="A57" s="72" t="s">
        <v>301</v>
      </c>
      <c r="D57" s="63">
        <v>50000</v>
      </c>
      <c r="E57" s="65"/>
      <c r="F57" s="63">
        <v>0</v>
      </c>
      <c r="G57" s="65"/>
      <c r="H57" s="15">
        <v>0</v>
      </c>
      <c r="J57" s="64">
        <f t="shared" si="1"/>
        <v>0</v>
      </c>
      <c r="L57" s="64">
        <f t="shared" si="2"/>
        <v>50000</v>
      </c>
    </row>
    <row r="58" spans="1:12" ht="12.75">
      <c r="A58" s="71" t="s">
        <v>302</v>
      </c>
      <c r="D58" s="63">
        <v>25000</v>
      </c>
      <c r="E58" s="65"/>
      <c r="F58" s="63">
        <v>0</v>
      </c>
      <c r="G58" s="65"/>
      <c r="H58" s="15">
        <v>0</v>
      </c>
      <c r="J58" s="64">
        <f t="shared" si="1"/>
        <v>0</v>
      </c>
      <c r="L58" s="64">
        <f t="shared" si="2"/>
        <v>25000</v>
      </c>
    </row>
    <row r="59" spans="1:12" ht="12.75">
      <c r="A59" s="69" t="s">
        <v>305</v>
      </c>
      <c r="D59" s="63">
        <v>100000</v>
      </c>
      <c r="E59" s="65"/>
      <c r="F59" s="63">
        <v>0</v>
      </c>
      <c r="G59" s="65"/>
      <c r="H59" s="15">
        <v>0</v>
      </c>
      <c r="J59" s="64">
        <f t="shared" si="1"/>
        <v>0</v>
      </c>
      <c r="L59" s="64">
        <f t="shared" si="2"/>
        <v>100000</v>
      </c>
    </row>
    <row r="60" spans="1:12" ht="12.75">
      <c r="A60" s="68" t="s">
        <v>306</v>
      </c>
      <c r="D60" s="63">
        <v>15000</v>
      </c>
      <c r="E60" s="65"/>
      <c r="F60" s="63">
        <v>0</v>
      </c>
      <c r="G60" s="65"/>
      <c r="H60" s="15">
        <v>0</v>
      </c>
      <c r="J60" s="64">
        <f t="shared" si="1"/>
        <v>0</v>
      </c>
      <c r="L60" s="64">
        <f t="shared" si="2"/>
        <v>15000</v>
      </c>
    </row>
    <row r="61" spans="1:12" ht="12.75">
      <c r="A61" s="66" t="s">
        <v>307</v>
      </c>
      <c r="D61" s="63">
        <v>70000</v>
      </c>
      <c r="E61" s="65"/>
      <c r="F61" s="63">
        <v>0</v>
      </c>
      <c r="G61" s="65"/>
      <c r="H61" s="15">
        <v>0</v>
      </c>
      <c r="J61" s="64">
        <f t="shared" si="1"/>
        <v>0</v>
      </c>
      <c r="L61" s="64">
        <f t="shared" si="2"/>
        <v>70000</v>
      </c>
    </row>
    <row r="62" spans="1:12" ht="12.75">
      <c r="A62" s="67"/>
      <c r="D62" s="63"/>
      <c r="E62" s="65"/>
      <c r="G62" s="65"/>
      <c r="J62" s="64">
        <f t="shared" si="1"/>
        <v>0</v>
      </c>
      <c r="L62" s="64"/>
    </row>
    <row r="63" spans="4:14" ht="12.75">
      <c r="D63" s="57">
        <f>SUM(D13:D61)</f>
        <v>1457000</v>
      </c>
      <c r="H63" s="57">
        <f>SUM(H13:H60)</f>
        <v>1649700</v>
      </c>
      <c r="J63" s="57">
        <f>SUM(J13:J74)</f>
        <v>357000</v>
      </c>
      <c r="L63" s="57">
        <f>SUM(L13:L74)</f>
        <v>2485541</v>
      </c>
      <c r="N63" s="64"/>
    </row>
    <row r="64" spans="4:14" ht="12.75">
      <c r="D64" s="57"/>
      <c r="H64" s="57"/>
      <c r="J64" s="57"/>
      <c r="L64" s="57"/>
      <c r="N64" s="64"/>
    </row>
    <row r="65" spans="1:14" ht="16.5">
      <c r="A65" s="174" t="s">
        <v>454</v>
      </c>
      <c r="D65" s="194">
        <f aca="true" t="shared" si="3" ref="D65:L65">D63+D12</f>
        <v>13207000</v>
      </c>
      <c r="E65" s="195">
        <f t="shared" si="3"/>
        <v>0</v>
      </c>
      <c r="F65" s="194">
        <f t="shared" si="3"/>
        <v>0</v>
      </c>
      <c r="G65" s="195">
        <f t="shared" si="3"/>
        <v>0</v>
      </c>
      <c r="H65" s="194">
        <f t="shared" si="3"/>
        <v>13372700</v>
      </c>
      <c r="I65" s="195">
        <f t="shared" si="3"/>
        <v>0</v>
      </c>
      <c r="J65" s="194">
        <f t="shared" si="3"/>
        <v>384000</v>
      </c>
      <c r="K65" s="195">
        <f t="shared" si="3"/>
        <v>0</v>
      </c>
      <c r="L65" s="194">
        <f t="shared" si="3"/>
        <v>2485541</v>
      </c>
      <c r="N65" s="64">
        <f>H65-13372700</f>
        <v>0</v>
      </c>
    </row>
    <row r="66" spans="4:14" ht="12.75">
      <c r="D66" s="57"/>
      <c r="H66" s="57"/>
      <c r="J66" s="57"/>
      <c r="L66" s="57"/>
      <c r="N66" s="64"/>
    </row>
    <row r="67" spans="4:14" ht="12.75">
      <c r="D67" s="57"/>
      <c r="H67" s="57"/>
      <c r="J67" s="57"/>
      <c r="L67" s="57"/>
      <c r="N67" s="64"/>
    </row>
    <row r="68" spans="1:14" ht="12.75">
      <c r="A68" s="177" t="s">
        <v>459</v>
      </c>
      <c r="D68" s="57"/>
      <c r="H68" s="57"/>
      <c r="J68" s="57"/>
      <c r="L68" s="57"/>
      <c r="N68" s="64"/>
    </row>
    <row r="69" spans="4:14" ht="12.75">
      <c r="D69" s="57"/>
      <c r="H69" s="57"/>
      <c r="J69" s="57"/>
      <c r="L69" s="57"/>
      <c r="N69" s="64"/>
    </row>
    <row r="70" spans="1:12" ht="12.75">
      <c r="A70" s="176" t="s">
        <v>228</v>
      </c>
      <c r="B70" s="62"/>
      <c r="C70" s="62"/>
      <c r="D70" s="57">
        <v>250000</v>
      </c>
      <c r="E70" s="65"/>
      <c r="F70" s="63">
        <v>0</v>
      </c>
      <c r="G70" s="65"/>
      <c r="H70" s="15">
        <v>0</v>
      </c>
      <c r="J70" s="64">
        <f>F70-H70</f>
        <v>0</v>
      </c>
      <c r="L70" s="64">
        <f>D70-H70</f>
        <v>250000</v>
      </c>
    </row>
    <row r="71" spans="1:12" ht="12.75">
      <c r="A71" s="176"/>
      <c r="B71" s="62"/>
      <c r="C71" s="62"/>
      <c r="D71" s="57"/>
      <c r="E71" s="65"/>
      <c r="G71" s="65"/>
      <c r="J71" s="64"/>
      <c r="L71" s="64"/>
    </row>
    <row r="72" spans="1:12" ht="12.75">
      <c r="A72" s="176"/>
      <c r="B72" s="62"/>
      <c r="C72" s="62"/>
      <c r="D72" s="57"/>
      <c r="E72" s="65"/>
      <c r="G72" s="65"/>
      <c r="J72" s="64"/>
      <c r="L72" s="64"/>
    </row>
    <row r="73" spans="1:12" ht="12.75">
      <c r="A73" s="62" t="s">
        <v>358</v>
      </c>
      <c r="B73" s="62"/>
      <c r="C73" s="62"/>
      <c r="D73" s="57">
        <f>2058000+235000</f>
        <v>2293000</v>
      </c>
      <c r="E73" s="65"/>
      <c r="F73" s="63">
        <v>0</v>
      </c>
      <c r="G73" s="65"/>
      <c r="H73" s="73">
        <f>602459+2651763</f>
        <v>3254222</v>
      </c>
      <c r="J73" s="64">
        <v>0</v>
      </c>
      <c r="L73" s="64">
        <f>D73-H73</f>
        <v>-961222</v>
      </c>
    </row>
    <row r="74" spans="1:12" ht="12.75">
      <c r="A74" s="62"/>
      <c r="B74" s="62"/>
      <c r="C74" s="62"/>
      <c r="D74" s="57"/>
      <c r="E74" s="65"/>
      <c r="G74" s="65"/>
      <c r="H74" s="73"/>
      <c r="J74" s="64"/>
      <c r="L74" s="64"/>
    </row>
    <row r="75" spans="1:12" ht="12.75">
      <c r="A75" s="62" t="s">
        <v>490</v>
      </c>
      <c r="B75" s="58"/>
      <c r="D75" s="74">
        <v>150000</v>
      </c>
      <c r="F75" s="63">
        <v>300000</v>
      </c>
      <c r="H75" s="15">
        <v>300000</v>
      </c>
      <c r="J75" s="64">
        <f>F75-H75</f>
        <v>0</v>
      </c>
      <c r="L75" s="64">
        <f>D75-F75</f>
        <v>-150000</v>
      </c>
    </row>
    <row r="76" spans="1:12" ht="12.75">
      <c r="A76" s="20" t="s">
        <v>236</v>
      </c>
      <c r="D76" s="74">
        <v>100000</v>
      </c>
      <c r="L76" s="64">
        <f>D76-F76</f>
        <v>100000</v>
      </c>
    </row>
    <row r="77" spans="4:12" ht="12.75">
      <c r="D77" s="75">
        <f>SUM(D75:D76)</f>
        <v>250000</v>
      </c>
      <c r="E77" s="65"/>
      <c r="F77" s="57"/>
      <c r="G77" s="65"/>
      <c r="H77" s="75">
        <f>SUM(H75:H76)</f>
        <v>300000</v>
      </c>
      <c r="J77" s="75">
        <f>SUM(J75:J76)</f>
        <v>0</v>
      </c>
      <c r="L77" s="75">
        <f>SUM(L75:L76)</f>
        <v>-50000</v>
      </c>
    </row>
    <row r="78" spans="4:12" ht="12.75">
      <c r="D78" s="75"/>
      <c r="E78" s="65"/>
      <c r="F78" s="57"/>
      <c r="G78" s="65"/>
      <c r="H78" s="75"/>
      <c r="J78" s="75"/>
      <c r="L78" s="75"/>
    </row>
    <row r="79" spans="1:12" ht="12.75">
      <c r="A79" s="62" t="s">
        <v>491</v>
      </c>
      <c r="D79" s="15">
        <v>250000</v>
      </c>
      <c r="E79" s="65"/>
      <c r="F79" s="63">
        <v>250000</v>
      </c>
      <c r="G79" s="65"/>
      <c r="H79" s="15">
        <v>250000</v>
      </c>
      <c r="J79" s="64">
        <f>F79-H79</f>
        <v>0</v>
      </c>
      <c r="L79" s="64">
        <f>D79-F79</f>
        <v>0</v>
      </c>
    </row>
    <row r="80" spans="1:12" ht="12.75">
      <c r="A80" s="20" t="s">
        <v>287</v>
      </c>
      <c r="D80" s="15">
        <v>150000</v>
      </c>
      <c r="F80" s="63">
        <v>150000</v>
      </c>
      <c r="H80" s="15">
        <v>150000</v>
      </c>
      <c r="J80" s="64">
        <f>F80-H80</f>
        <v>0</v>
      </c>
      <c r="L80" s="64">
        <f>D80-F80</f>
        <v>0</v>
      </c>
    </row>
    <row r="81" spans="10:12" ht="12.75">
      <c r="J81" s="64"/>
      <c r="L81" s="64"/>
    </row>
    <row r="82" spans="4:12" ht="12.75">
      <c r="D82" s="75">
        <f>SUM(D79:D80)</f>
        <v>400000</v>
      </c>
      <c r="E82" s="65"/>
      <c r="F82" s="57"/>
      <c r="G82" s="65"/>
      <c r="H82" s="75">
        <f>SUM(H79:H80)</f>
        <v>400000</v>
      </c>
      <c r="J82" s="75">
        <f>SUM(J79:J80)</f>
        <v>0</v>
      </c>
      <c r="L82" s="75">
        <f>SUM(L79:L80)</f>
        <v>0</v>
      </c>
    </row>
    <row r="83" spans="4:12" ht="12.75">
      <c r="D83" s="75"/>
      <c r="E83" s="65"/>
      <c r="F83" s="57"/>
      <c r="G83" s="65"/>
      <c r="H83" s="75"/>
      <c r="J83" s="75"/>
      <c r="L83" s="75"/>
    </row>
    <row r="84" spans="1:12" ht="12.75">
      <c r="A84" s="62" t="s">
        <v>492</v>
      </c>
      <c r="D84" s="15">
        <v>800000</v>
      </c>
      <c r="E84" s="65"/>
      <c r="F84" s="63">
        <v>800000</v>
      </c>
      <c r="G84" s="65"/>
      <c r="H84" s="15">
        <v>800000</v>
      </c>
      <c r="J84" s="64">
        <f>F84-H84</f>
        <v>0</v>
      </c>
      <c r="L84" s="64">
        <f>D84-F84</f>
        <v>0</v>
      </c>
    </row>
    <row r="85" spans="1:7" ht="12.75">
      <c r="A85" s="62" t="s">
        <v>292</v>
      </c>
      <c r="D85" s="63">
        <v>300000</v>
      </c>
      <c r="E85" s="65"/>
      <c r="G85" s="65"/>
    </row>
    <row r="86" spans="1:12" ht="12.75">
      <c r="A86" s="7" t="s">
        <v>294</v>
      </c>
      <c r="D86" s="63"/>
      <c r="F86" s="63" t="s">
        <v>277</v>
      </c>
      <c r="H86" s="15">
        <v>15000</v>
      </c>
      <c r="J86" s="15">
        <v>0</v>
      </c>
      <c r="L86" s="64">
        <v>0</v>
      </c>
    </row>
    <row r="87" spans="1:12" ht="12.75">
      <c r="A87" s="20" t="s">
        <v>28</v>
      </c>
      <c r="D87" s="63"/>
      <c r="F87" s="63" t="s">
        <v>285</v>
      </c>
      <c r="H87" s="15">
        <v>187000</v>
      </c>
      <c r="J87" s="15">
        <v>0</v>
      </c>
      <c r="L87" s="64">
        <v>0</v>
      </c>
    </row>
    <row r="88" spans="1:12" ht="12.75">
      <c r="A88" s="20" t="s">
        <v>97</v>
      </c>
      <c r="D88" s="63"/>
      <c r="F88" s="63" t="s">
        <v>98</v>
      </c>
      <c r="H88" s="15">
        <v>2000</v>
      </c>
      <c r="J88" s="15"/>
      <c r="L88" s="64"/>
    </row>
    <row r="89" spans="1:12" ht="12.75">
      <c r="A89" s="7" t="s">
        <v>38</v>
      </c>
      <c r="D89" s="63"/>
      <c r="F89" s="63" t="s">
        <v>98</v>
      </c>
      <c r="H89" s="15">
        <v>6000</v>
      </c>
      <c r="J89" s="15"/>
      <c r="L89" s="64"/>
    </row>
    <row r="90" spans="1:12" ht="12.75">
      <c r="A90" s="7" t="s">
        <v>39</v>
      </c>
      <c r="D90" s="63"/>
      <c r="F90" s="63" t="s">
        <v>98</v>
      </c>
      <c r="H90" s="15">
        <v>2000</v>
      </c>
      <c r="J90" s="15"/>
      <c r="L90" s="64"/>
    </row>
    <row r="91" spans="1:12" ht="12.75">
      <c r="A91" s="7" t="s">
        <v>40</v>
      </c>
      <c r="D91" s="63"/>
      <c r="F91" s="63" t="s">
        <v>98</v>
      </c>
      <c r="H91" s="15">
        <v>4000</v>
      </c>
      <c r="J91" s="15"/>
      <c r="L91" s="64"/>
    </row>
    <row r="92" spans="1:12" ht="12.75">
      <c r="A92" s="7" t="s">
        <v>29</v>
      </c>
      <c r="D92" s="63"/>
      <c r="F92" s="63" t="s">
        <v>41</v>
      </c>
      <c r="H92" s="15">
        <v>6000</v>
      </c>
      <c r="J92" s="15"/>
      <c r="L92" s="64"/>
    </row>
    <row r="93" spans="1:12" ht="12.75">
      <c r="A93" s="7" t="s">
        <v>42</v>
      </c>
      <c r="D93" s="63"/>
      <c r="F93" s="63" t="s">
        <v>285</v>
      </c>
      <c r="H93" s="15">
        <v>183000</v>
      </c>
      <c r="J93" s="15"/>
      <c r="L93" s="64"/>
    </row>
    <row r="94" spans="1:12" ht="12.75">
      <c r="A94" s="7" t="s">
        <v>30</v>
      </c>
      <c r="D94" s="63"/>
      <c r="F94" s="63" t="s">
        <v>43</v>
      </c>
      <c r="H94" s="15">
        <v>113750</v>
      </c>
      <c r="J94" s="15"/>
      <c r="L94" s="64"/>
    </row>
    <row r="95" spans="1:12" ht="12.75">
      <c r="A95" s="7" t="s">
        <v>31</v>
      </c>
      <c r="D95" s="63"/>
      <c r="F95" s="63" t="s">
        <v>44</v>
      </c>
      <c r="H95" s="15">
        <v>5500</v>
      </c>
      <c r="J95" s="15"/>
      <c r="L95" s="64"/>
    </row>
    <row r="96" spans="1:12" ht="12.75">
      <c r="A96" s="7"/>
      <c r="D96" s="63"/>
      <c r="J96" s="15"/>
      <c r="L96" s="64"/>
    </row>
    <row r="97" spans="4:12" ht="12.75">
      <c r="D97" s="65">
        <f>SUM(D84:D95)</f>
        <v>1100000</v>
      </c>
      <c r="E97" s="65"/>
      <c r="F97" s="57"/>
      <c r="G97" s="65"/>
      <c r="H97" s="65">
        <f>SUM(H84:H95)</f>
        <v>1324250</v>
      </c>
      <c r="J97" s="65">
        <f>SUM(J84:J95)</f>
        <v>0</v>
      </c>
      <c r="L97" s="65">
        <f>D97-H97-J97</f>
        <v>-224250</v>
      </c>
    </row>
    <row r="98" spans="4:12" ht="12.75">
      <c r="D98" s="65"/>
      <c r="E98" s="65"/>
      <c r="F98" s="57"/>
      <c r="G98" s="65"/>
      <c r="H98" s="65"/>
      <c r="J98" s="65"/>
      <c r="L98" s="65"/>
    </row>
    <row r="99" spans="1:10" ht="12.75">
      <c r="A99" s="62" t="s">
        <v>493</v>
      </c>
      <c r="E99" s="65"/>
      <c r="F99" s="63" t="s">
        <v>290</v>
      </c>
      <c r="G99" s="65"/>
      <c r="H99" s="15">
        <v>270000</v>
      </c>
      <c r="J99" s="64">
        <v>90000</v>
      </c>
    </row>
    <row r="100" spans="1:10" ht="12.75">
      <c r="A100" s="62" t="s">
        <v>494</v>
      </c>
      <c r="E100" s="65"/>
      <c r="F100" s="63">
        <v>108000</v>
      </c>
      <c r="G100" s="65"/>
      <c r="H100" s="15">
        <v>108000</v>
      </c>
      <c r="J100" s="64">
        <f>F100-H100</f>
        <v>0</v>
      </c>
    </row>
    <row r="101" spans="1:10" ht="12.75">
      <c r="A101" s="20" t="s">
        <v>286</v>
      </c>
      <c r="F101" s="63" t="s">
        <v>277</v>
      </c>
      <c r="H101" s="15">
        <v>0</v>
      </c>
      <c r="J101" s="64">
        <v>0</v>
      </c>
    </row>
    <row r="102" spans="1:10" ht="12.75">
      <c r="A102" s="7" t="s">
        <v>288</v>
      </c>
      <c r="F102" s="63" t="s">
        <v>277</v>
      </c>
      <c r="H102" s="15">
        <v>0</v>
      </c>
      <c r="J102" s="64">
        <v>0</v>
      </c>
    </row>
    <row r="103" spans="1:10" ht="12.75">
      <c r="A103" s="7"/>
      <c r="J103" s="64"/>
    </row>
    <row r="104" spans="4:12" ht="12.75">
      <c r="D104" s="75">
        <v>550000</v>
      </c>
      <c r="E104" s="65"/>
      <c r="F104" s="57"/>
      <c r="G104" s="65"/>
      <c r="H104" s="75">
        <f>SUM(H99:H102)</f>
        <v>378000</v>
      </c>
      <c r="J104" s="75">
        <f>SUM(J99:J102)</f>
        <v>90000</v>
      </c>
      <c r="L104" s="75">
        <f>D104-H104-J104</f>
        <v>82000</v>
      </c>
    </row>
    <row r="105" spans="4:12" ht="12.75">
      <c r="D105" s="75"/>
      <c r="E105" s="65"/>
      <c r="F105" s="57"/>
      <c r="G105" s="65"/>
      <c r="H105" s="75"/>
      <c r="J105" s="75"/>
      <c r="L105" s="75"/>
    </row>
    <row r="106" spans="1:12" ht="12.75">
      <c r="A106" s="62" t="s">
        <v>495</v>
      </c>
      <c r="D106" s="76">
        <v>350000</v>
      </c>
      <c r="F106" s="76">
        <v>350000</v>
      </c>
      <c r="H106" s="15">
        <v>350000</v>
      </c>
      <c r="J106" s="64">
        <f>F106-H106</f>
        <v>0</v>
      </c>
      <c r="L106" s="64">
        <f>D106-F106</f>
        <v>0</v>
      </c>
    </row>
    <row r="107" spans="1:12" ht="12.75">
      <c r="A107" s="20" t="s">
        <v>353</v>
      </c>
      <c r="D107" s="76"/>
      <c r="F107" s="76"/>
      <c r="H107" s="15">
        <v>50000</v>
      </c>
      <c r="J107" s="64"/>
      <c r="L107" s="64"/>
    </row>
    <row r="108" spans="4:12" ht="12.75">
      <c r="D108" s="76"/>
      <c r="F108" s="76"/>
      <c r="J108" s="64"/>
      <c r="L108" s="64"/>
    </row>
    <row r="109" spans="4:12" ht="12.75">
      <c r="D109" s="77">
        <f>D106</f>
        <v>350000</v>
      </c>
      <c r="F109" s="77">
        <f>F106</f>
        <v>350000</v>
      </c>
      <c r="H109" s="77">
        <f>SUM(H106:H107)</f>
        <v>400000</v>
      </c>
      <c r="J109" s="77">
        <f>J106</f>
        <v>0</v>
      </c>
      <c r="L109" s="77">
        <f>L106</f>
        <v>0</v>
      </c>
    </row>
    <row r="110" spans="4:12" ht="12.75">
      <c r="D110" s="77"/>
      <c r="F110" s="77"/>
      <c r="H110" s="77"/>
      <c r="J110" s="77"/>
      <c r="L110" s="77"/>
    </row>
    <row r="111" spans="1:12" ht="12.75">
      <c r="A111" s="62" t="s">
        <v>354</v>
      </c>
      <c r="D111" s="77"/>
      <c r="F111" s="77"/>
      <c r="H111" s="77"/>
      <c r="J111" s="77"/>
      <c r="L111" s="77"/>
    </row>
    <row r="112" spans="1:12" ht="12.75">
      <c r="A112" s="62" t="s">
        <v>496</v>
      </c>
      <c r="B112" s="20" t="s">
        <v>174</v>
      </c>
      <c r="D112" s="15">
        <v>1150000</v>
      </c>
      <c r="F112" s="63">
        <v>1150000</v>
      </c>
      <c r="H112" s="65">
        <v>1150000</v>
      </c>
      <c r="J112" s="64">
        <f>F112-H112</f>
        <v>0</v>
      </c>
      <c r="L112" s="64">
        <f>D112-F112</f>
        <v>0</v>
      </c>
    </row>
    <row r="113" spans="1:12" ht="12.75">
      <c r="A113" s="20" t="s">
        <v>32</v>
      </c>
      <c r="F113" s="63">
        <v>500000</v>
      </c>
      <c r="H113" s="65">
        <v>500000</v>
      </c>
      <c r="J113" s="64">
        <f>F113-H113</f>
        <v>0</v>
      </c>
      <c r="L113" s="64"/>
    </row>
    <row r="114" spans="4:12" ht="12.75">
      <c r="D114" s="77"/>
      <c r="F114" s="77"/>
      <c r="H114" s="77"/>
      <c r="J114" s="77"/>
      <c r="L114" s="77"/>
    </row>
    <row r="115" spans="1:12" ht="12.75">
      <c r="A115" s="5" t="s">
        <v>135</v>
      </c>
      <c r="D115" s="77"/>
      <c r="F115" s="77"/>
      <c r="H115" s="77"/>
      <c r="J115" s="77"/>
      <c r="L115" s="77"/>
    </row>
    <row r="116" spans="1:12" ht="12.75">
      <c r="A116" s="7" t="s">
        <v>136</v>
      </c>
      <c r="D116" s="77"/>
      <c r="F116" s="76">
        <v>25000</v>
      </c>
      <c r="H116" s="76">
        <v>30000</v>
      </c>
      <c r="J116" s="64">
        <f>F116-H116</f>
        <v>-5000</v>
      </c>
      <c r="L116" s="77"/>
    </row>
    <row r="117" spans="1:12" ht="12.75">
      <c r="A117" s="7" t="s">
        <v>137</v>
      </c>
      <c r="D117" s="77"/>
      <c r="F117" s="76">
        <v>270000</v>
      </c>
      <c r="H117" s="76">
        <v>345000</v>
      </c>
      <c r="J117" s="64">
        <f>F117-H117</f>
        <v>-75000</v>
      </c>
      <c r="L117" s="77"/>
    </row>
    <row r="118" spans="1:12" ht="12.75">
      <c r="A118" s="7" t="s">
        <v>138</v>
      </c>
      <c r="D118" s="77"/>
      <c r="F118" s="76">
        <v>193600</v>
      </c>
      <c r="H118" s="76">
        <v>193600</v>
      </c>
      <c r="J118" s="64">
        <f>F118-H118</f>
        <v>0</v>
      </c>
      <c r="L118" s="77"/>
    </row>
    <row r="119" spans="1:12" ht="12.75">
      <c r="A119" s="7"/>
      <c r="D119" s="77"/>
      <c r="F119" s="76"/>
      <c r="H119" s="76"/>
      <c r="J119" s="77"/>
      <c r="L119" s="77"/>
    </row>
    <row r="120" spans="4:12" ht="12.75">
      <c r="D120" s="77"/>
      <c r="F120" s="77"/>
      <c r="H120" s="77">
        <f>SUM(H116:H118)</f>
        <v>568600</v>
      </c>
      <c r="J120" s="77"/>
      <c r="L120" s="77"/>
    </row>
    <row r="121" spans="4:12" ht="12.75">
      <c r="D121" s="77"/>
      <c r="F121" s="77"/>
      <c r="H121" s="77"/>
      <c r="J121" s="77"/>
      <c r="L121" s="77"/>
    </row>
    <row r="122" spans="1:12" ht="12.75">
      <c r="A122" s="62" t="s">
        <v>497</v>
      </c>
      <c r="D122" s="15">
        <v>70000</v>
      </c>
      <c r="E122" s="65"/>
      <c r="F122" s="63">
        <v>65000</v>
      </c>
      <c r="G122" s="65"/>
      <c r="H122" s="15">
        <v>65000</v>
      </c>
      <c r="J122" s="64">
        <f>F122-H122</f>
        <v>0</v>
      </c>
      <c r="L122" s="64">
        <f>D122-F122</f>
        <v>5000</v>
      </c>
    </row>
    <row r="123" spans="1:12" ht="12.75">
      <c r="A123" s="20" t="s">
        <v>291</v>
      </c>
      <c r="D123" s="15">
        <v>55000</v>
      </c>
      <c r="E123" s="65"/>
      <c r="F123" s="63">
        <v>50000</v>
      </c>
      <c r="G123" s="65"/>
      <c r="H123" s="15">
        <v>50000</v>
      </c>
      <c r="J123" s="64">
        <f>F123-H123</f>
        <v>0</v>
      </c>
      <c r="L123" s="64">
        <f>D123-F123</f>
        <v>5000</v>
      </c>
    </row>
    <row r="124" spans="1:12" ht="12.75">
      <c r="A124" s="20" t="s">
        <v>296</v>
      </c>
      <c r="D124" s="15">
        <v>55000</v>
      </c>
      <c r="F124" s="63">
        <v>50000</v>
      </c>
      <c r="H124" s="15">
        <v>50000</v>
      </c>
      <c r="J124" s="64">
        <f>F124-H124</f>
        <v>0</v>
      </c>
      <c r="L124" s="64">
        <f>D124-F124</f>
        <v>5000</v>
      </c>
    </row>
    <row r="125" spans="10:12" ht="12.75">
      <c r="J125" s="64"/>
      <c r="L125" s="64"/>
    </row>
    <row r="126" spans="4:12" ht="12.75">
      <c r="D126" s="65">
        <f>SUM(D122:D124)</f>
        <v>180000</v>
      </c>
      <c r="E126" s="65"/>
      <c r="G126" s="65"/>
      <c r="H126" s="65">
        <f>SUM(H122:H124)</f>
        <v>165000</v>
      </c>
      <c r="J126" s="65">
        <f>SUM(J122:J124)</f>
        <v>0</v>
      </c>
      <c r="L126" s="65">
        <f>SUM(L122:L124)</f>
        <v>15000</v>
      </c>
    </row>
    <row r="127" spans="4:12" ht="12.75">
      <c r="D127" s="65"/>
      <c r="E127" s="65"/>
      <c r="G127" s="65"/>
      <c r="H127" s="65"/>
      <c r="J127" s="65"/>
      <c r="L127" s="65"/>
    </row>
    <row r="128" spans="1:12" ht="12.75">
      <c r="A128" s="62" t="s">
        <v>498</v>
      </c>
      <c r="D128" s="63">
        <v>200000</v>
      </c>
      <c r="F128" s="63">
        <v>350000</v>
      </c>
      <c r="H128" s="15">
        <v>90000</v>
      </c>
      <c r="J128" s="64">
        <v>0</v>
      </c>
      <c r="L128" s="64">
        <f>D128-H128</f>
        <v>110000</v>
      </c>
    </row>
    <row r="129" spans="1:12" ht="12.75">
      <c r="A129" s="20" t="s">
        <v>293</v>
      </c>
      <c r="E129" s="65"/>
      <c r="F129" s="63">
        <v>350000</v>
      </c>
      <c r="G129" s="65"/>
      <c r="H129" s="15">
        <v>350000</v>
      </c>
      <c r="J129" s="64">
        <f>F129-H129</f>
        <v>0</v>
      </c>
      <c r="L129" s="64">
        <f>D129-F129</f>
        <v>-350000</v>
      </c>
    </row>
    <row r="130" spans="1:12" ht="12.75">
      <c r="A130" s="20" t="s">
        <v>451</v>
      </c>
      <c r="E130" s="65"/>
      <c r="F130" s="63">
        <v>40000</v>
      </c>
      <c r="G130" s="65"/>
      <c r="H130" s="15">
        <v>40000</v>
      </c>
      <c r="J130" s="64">
        <f>F130-H130</f>
        <v>0</v>
      </c>
      <c r="L130" s="64"/>
    </row>
    <row r="131" spans="5:12" ht="12.75">
      <c r="E131" s="65"/>
      <c r="G131" s="65"/>
      <c r="J131" s="64"/>
      <c r="L131" s="64"/>
    </row>
    <row r="132" spans="4:12" ht="12.75">
      <c r="D132" s="77">
        <f>SUM(D128:D129)</f>
        <v>200000</v>
      </c>
      <c r="H132" s="77">
        <f>SUM(H128:H130)</f>
        <v>480000</v>
      </c>
      <c r="J132" s="77">
        <f>SUM(J128:J129)</f>
        <v>0</v>
      </c>
      <c r="L132" s="77">
        <f>SUM(L128:L129)</f>
        <v>-240000</v>
      </c>
    </row>
    <row r="133" spans="4:12" ht="12.75">
      <c r="D133" s="65"/>
      <c r="E133" s="65"/>
      <c r="G133" s="65"/>
      <c r="H133" s="65"/>
      <c r="J133" s="65"/>
      <c r="L133" s="65"/>
    </row>
    <row r="134" spans="1:12" ht="12.75">
      <c r="A134" s="62" t="s">
        <v>499</v>
      </c>
      <c r="D134" s="74">
        <v>225000</v>
      </c>
      <c r="F134" s="76">
        <v>225000</v>
      </c>
      <c r="H134" s="15">
        <v>225000</v>
      </c>
      <c r="J134" s="64">
        <f>F134-H134</f>
        <v>0</v>
      </c>
      <c r="L134" s="64">
        <f>D134-F134</f>
        <v>0</v>
      </c>
    </row>
    <row r="135" spans="1:12" ht="12.75">
      <c r="A135" s="20" t="s">
        <v>295</v>
      </c>
      <c r="D135" s="74">
        <v>125000</v>
      </c>
      <c r="E135" s="65"/>
      <c r="F135" s="76">
        <v>125000</v>
      </c>
      <c r="G135" s="65"/>
      <c r="H135" s="15">
        <v>125000</v>
      </c>
      <c r="J135" s="64">
        <f>F135-H135</f>
        <v>0</v>
      </c>
      <c r="L135" s="64">
        <f>D135-F135</f>
        <v>0</v>
      </c>
    </row>
    <row r="136" spans="1:12" ht="12.75">
      <c r="A136" s="20" t="s">
        <v>452</v>
      </c>
      <c r="D136" s="74"/>
      <c r="E136" s="65"/>
      <c r="F136" s="76">
        <v>250000</v>
      </c>
      <c r="G136" s="65"/>
      <c r="H136" s="15">
        <v>250000</v>
      </c>
      <c r="J136" s="64"/>
      <c r="L136" s="64"/>
    </row>
    <row r="137" spans="4:12" ht="12.75">
      <c r="D137" s="74"/>
      <c r="E137" s="65"/>
      <c r="F137" s="76"/>
      <c r="G137" s="65"/>
      <c r="J137" s="64"/>
      <c r="L137" s="64"/>
    </row>
    <row r="138" spans="4:12" ht="12.75">
      <c r="D138" s="75">
        <f>SUM(D134:D135)</f>
        <v>350000</v>
      </c>
      <c r="E138" s="65"/>
      <c r="F138" s="77">
        <f>SUM(F134:F135)</f>
        <v>350000</v>
      </c>
      <c r="G138" s="65"/>
      <c r="H138" s="75">
        <f>SUM(H134:H136)</f>
        <v>600000</v>
      </c>
      <c r="J138" s="75">
        <f>SUM(J134:J135)</f>
        <v>0</v>
      </c>
      <c r="L138" s="75">
        <f>SUM(L134:L135)</f>
        <v>0</v>
      </c>
    </row>
    <row r="139" spans="4:12" ht="12.75">
      <c r="D139" s="75"/>
      <c r="E139" s="65"/>
      <c r="F139" s="77"/>
      <c r="G139" s="65"/>
      <c r="H139" s="75"/>
      <c r="J139" s="75"/>
      <c r="L139" s="75"/>
    </row>
    <row r="140" ht="12.75">
      <c r="A140" s="62" t="s">
        <v>175</v>
      </c>
    </row>
    <row r="141" ht="12.75">
      <c r="A141" s="62" t="s">
        <v>229</v>
      </c>
    </row>
    <row r="142" spans="1:12" ht="12.75">
      <c r="A142" s="20" t="s">
        <v>230</v>
      </c>
      <c r="D142" s="15">
        <v>31000</v>
      </c>
      <c r="F142" s="63">
        <v>311000</v>
      </c>
      <c r="H142" s="15">
        <v>51000</v>
      </c>
      <c r="J142" s="64">
        <f>F142-H142</f>
        <v>260000</v>
      </c>
      <c r="L142" s="64">
        <f>D142-F142</f>
        <v>-280000</v>
      </c>
    </row>
    <row r="143" spans="1:12" ht="12.75">
      <c r="A143" s="20" t="s">
        <v>231</v>
      </c>
      <c r="D143" s="15">
        <v>175000</v>
      </c>
      <c r="F143" s="63">
        <v>175000</v>
      </c>
      <c r="H143" s="15">
        <v>83000</v>
      </c>
      <c r="J143" s="64">
        <f>F143-H143</f>
        <v>92000</v>
      </c>
      <c r="L143" s="64">
        <f>D143-F143</f>
        <v>0</v>
      </c>
    </row>
    <row r="144" spans="1:12" ht="12.75">
      <c r="A144" s="20" t="s">
        <v>232</v>
      </c>
      <c r="D144" s="15">
        <v>150000</v>
      </c>
      <c r="F144" s="63">
        <v>150000</v>
      </c>
      <c r="H144" s="15">
        <v>150000</v>
      </c>
      <c r="J144" s="64">
        <f>F144-H144</f>
        <v>0</v>
      </c>
      <c r="L144" s="64">
        <f>D144-F144</f>
        <v>0</v>
      </c>
    </row>
    <row r="145" spans="1:12" ht="12.75">
      <c r="A145" s="20" t="s">
        <v>233</v>
      </c>
      <c r="D145" s="15">
        <v>150000</v>
      </c>
      <c r="F145" s="63">
        <v>150000</v>
      </c>
      <c r="H145" s="15">
        <v>150000</v>
      </c>
      <c r="J145" s="64">
        <f>F145-H145</f>
        <v>0</v>
      </c>
      <c r="L145" s="64">
        <f>D145-F145</f>
        <v>0</v>
      </c>
    </row>
    <row r="146" spans="1:12" ht="12.75">
      <c r="A146" s="20" t="s">
        <v>308</v>
      </c>
      <c r="D146" s="15">
        <v>0</v>
      </c>
      <c r="F146" s="63">
        <v>700000</v>
      </c>
      <c r="H146" s="15">
        <v>400000</v>
      </c>
      <c r="J146" s="64">
        <v>0</v>
      </c>
      <c r="L146" s="64">
        <f>D146-H146</f>
        <v>-400000</v>
      </c>
    </row>
    <row r="147" spans="1:12" ht="12.75">
      <c r="A147" s="20" t="s">
        <v>234</v>
      </c>
      <c r="D147" s="15">
        <v>0</v>
      </c>
      <c r="H147" s="15">
        <v>150000</v>
      </c>
      <c r="J147" s="64">
        <v>0</v>
      </c>
      <c r="L147" s="64">
        <f>D147-H147</f>
        <v>-150000</v>
      </c>
    </row>
    <row r="148" spans="10:12" ht="12.75">
      <c r="J148" s="64"/>
      <c r="L148" s="64"/>
    </row>
    <row r="149" spans="4:12" ht="12.75">
      <c r="D149" s="65">
        <f>SUM(D141:D147)</f>
        <v>506000</v>
      </c>
      <c r="E149" s="65"/>
      <c r="F149" s="57">
        <f>SUM(F141:F147)</f>
        <v>1486000</v>
      </c>
      <c r="G149" s="65"/>
      <c r="H149" s="65">
        <f>SUM(H141:H147)</f>
        <v>984000</v>
      </c>
      <c r="J149" s="65">
        <f>SUM(J141:J147)</f>
        <v>352000</v>
      </c>
      <c r="L149" s="65">
        <f>SUM(L141:L147)</f>
        <v>-830000</v>
      </c>
    </row>
    <row r="150" ht="12.75">
      <c r="A150" s="62" t="s">
        <v>235</v>
      </c>
    </row>
    <row r="151" spans="1:12" ht="12.75">
      <c r="A151" s="20" t="s">
        <v>309</v>
      </c>
      <c r="D151" s="15">
        <v>25000</v>
      </c>
      <c r="F151" s="63">
        <v>300000</v>
      </c>
      <c r="H151" s="15">
        <v>25000</v>
      </c>
      <c r="J151" s="64">
        <v>0</v>
      </c>
      <c r="L151" s="64">
        <f>D151-H151</f>
        <v>0</v>
      </c>
    </row>
    <row r="152" spans="1:12" ht="12.75">
      <c r="A152" s="20" t="s">
        <v>310</v>
      </c>
      <c r="D152" s="15">
        <v>25000</v>
      </c>
      <c r="F152" s="63">
        <v>300000</v>
      </c>
      <c r="H152" s="15">
        <v>25000</v>
      </c>
      <c r="J152" s="64">
        <v>0</v>
      </c>
      <c r="L152" s="64">
        <f>D152-H152</f>
        <v>0</v>
      </c>
    </row>
    <row r="153" spans="4:12" ht="12.75">
      <c r="D153" s="65">
        <f>SUM(D151:D152)</f>
        <v>50000</v>
      </c>
      <c r="H153" s="65">
        <f>SUM(H151:H152)</f>
        <v>50000</v>
      </c>
      <c r="J153" s="65">
        <f>SUM(J151:J152)</f>
        <v>0</v>
      </c>
      <c r="L153" s="65">
        <f>SUM(L151:L152)</f>
        <v>0</v>
      </c>
    </row>
    <row r="154" spans="4:7" ht="12.75">
      <c r="D154" s="20"/>
      <c r="E154" s="65"/>
      <c r="F154" s="57"/>
      <c r="G154" s="65"/>
    </row>
    <row r="155" spans="1:12" ht="12.75">
      <c r="A155" s="62" t="s">
        <v>360</v>
      </c>
      <c r="D155" s="15">
        <v>100000</v>
      </c>
      <c r="E155" s="15" t="s">
        <v>174</v>
      </c>
      <c r="H155" s="15">
        <v>48800</v>
      </c>
      <c r="L155" s="64">
        <f>D155-H155</f>
        <v>51200</v>
      </c>
    </row>
    <row r="156" spans="4:12" ht="12.75">
      <c r="D156" s="65">
        <f>D155</f>
        <v>100000</v>
      </c>
      <c r="E156" s="65"/>
      <c r="F156" s="57"/>
      <c r="G156" s="65"/>
      <c r="H156" s="65">
        <f>H155</f>
        <v>48800</v>
      </c>
      <c r="J156" s="65">
        <f>J155</f>
        <v>0</v>
      </c>
      <c r="L156" s="65">
        <f>L155</f>
        <v>51200</v>
      </c>
    </row>
    <row r="157" ht="12.75">
      <c r="A157" s="62"/>
    </row>
    <row r="158" spans="5:7" ht="12.75">
      <c r="E158" s="65"/>
      <c r="F158" s="57"/>
      <c r="G158" s="65"/>
    </row>
    <row r="159" spans="1:12" ht="12.75">
      <c r="A159" s="62" t="s">
        <v>500</v>
      </c>
      <c r="D159" s="74">
        <v>125000</v>
      </c>
      <c r="E159" s="65"/>
      <c r="F159" s="63">
        <v>125000</v>
      </c>
      <c r="G159" s="65"/>
      <c r="H159" s="15">
        <v>125000</v>
      </c>
      <c r="J159" s="64">
        <f>F159-H159</f>
        <v>0</v>
      </c>
      <c r="L159" s="64">
        <f>D159-F159</f>
        <v>0</v>
      </c>
    </row>
    <row r="160" spans="1:12" ht="12.75">
      <c r="A160" s="20" t="s">
        <v>289</v>
      </c>
      <c r="D160" s="74">
        <v>90000</v>
      </c>
      <c r="F160" s="63">
        <v>90000</v>
      </c>
      <c r="H160" s="15">
        <v>90000</v>
      </c>
      <c r="J160" s="64">
        <f>F160-H160</f>
        <v>0</v>
      </c>
      <c r="L160" s="64">
        <f>D160-F160</f>
        <v>0</v>
      </c>
    </row>
    <row r="161" spans="1:12" ht="12.75">
      <c r="A161" s="7" t="s">
        <v>166</v>
      </c>
      <c r="D161" s="74"/>
      <c r="H161" s="15">
        <f>898800-H159-H160+267500</f>
        <v>951300</v>
      </c>
      <c r="J161" s="64"/>
      <c r="L161" s="64"/>
    </row>
    <row r="162" spans="1:12" ht="12.75">
      <c r="A162" s="7"/>
      <c r="D162" s="74"/>
      <c r="J162" s="64"/>
      <c r="L162" s="64"/>
    </row>
    <row r="163" spans="4:12" ht="12.75">
      <c r="D163" s="75">
        <f>SUM(D159:D161)</f>
        <v>215000</v>
      </c>
      <c r="E163" s="65"/>
      <c r="F163" s="77">
        <f>SUM(F159:F161)</f>
        <v>215000</v>
      </c>
      <c r="G163" s="65"/>
      <c r="H163" s="75">
        <f>SUM(H159:H161)</f>
        <v>1166300</v>
      </c>
      <c r="I163" s="75"/>
      <c r="J163" s="75">
        <f>SUM(J159:J161)</f>
        <v>0</v>
      </c>
      <c r="L163" s="75">
        <f>SUM(L159:L161)</f>
        <v>0</v>
      </c>
    </row>
    <row r="164" spans="4:12" ht="12.75">
      <c r="D164" s="75"/>
      <c r="E164" s="65"/>
      <c r="F164" s="77"/>
      <c r="G164" s="65"/>
      <c r="H164" s="75"/>
      <c r="I164" s="75"/>
      <c r="J164" s="75"/>
      <c r="L164" s="75"/>
    </row>
    <row r="165" spans="1:14" ht="16.5">
      <c r="A165" s="174" t="s">
        <v>453</v>
      </c>
      <c r="D165" s="196">
        <f>D163+D156+D153+D149+D138+D132+D126+D120+D113+D112+D109+D104+D97+D82+D77+D73+D70</f>
        <v>7944000</v>
      </c>
      <c r="E165" s="196"/>
      <c r="F165" s="196">
        <f>F163+F156+F153+F149+F138+F132+F126+F120+F113+F112+F109+F104+F97+F82+F77+F73+F70</f>
        <v>4051000</v>
      </c>
      <c r="G165" s="196"/>
      <c r="H165" s="196">
        <f>H163+H156+H153+H149+H138+H132+H126+H120+H113+H112+H109+H104+H97+H82+H77+H73+H70</f>
        <v>11769172</v>
      </c>
      <c r="I165" s="196"/>
      <c r="J165" s="196">
        <f>J163+J156+J153+J149+J138+J132+J126+J120+J113+J112+J109+J104+J97+J82+J77+J73+J70</f>
        <v>442000</v>
      </c>
      <c r="K165" s="197"/>
      <c r="L165" s="196">
        <f>L163+L156+L153+L149+L138+L132+L126+L120+L113+L112+L109+L104+L97+L82+L77+L73+L70</f>
        <v>-1907272</v>
      </c>
      <c r="N165" s="64"/>
    </row>
    <row r="166" spans="4:14" ht="12.75">
      <c r="D166" s="75"/>
      <c r="E166" s="65"/>
      <c r="F166" s="77"/>
      <c r="G166" s="65"/>
      <c r="H166" s="75"/>
      <c r="I166" s="75"/>
      <c r="J166" s="75"/>
      <c r="L166" s="75"/>
      <c r="N166" s="64"/>
    </row>
    <row r="167" spans="5:14" ht="12.75">
      <c r="E167" s="65"/>
      <c r="F167" s="57"/>
      <c r="G167" s="65"/>
      <c r="N167" s="64">
        <f>9117409-N165</f>
        <v>9117409</v>
      </c>
    </row>
    <row r="169" ht="12.75">
      <c r="A169" s="177" t="s">
        <v>455</v>
      </c>
    </row>
    <row r="170" spans="1:12" ht="12.75">
      <c r="A170" s="178" t="s">
        <v>311</v>
      </c>
      <c r="D170" s="15">
        <f>2000000-650000</f>
        <v>1350000</v>
      </c>
      <c r="H170" s="15">
        <f>1904451-H171</f>
        <v>1254451</v>
      </c>
      <c r="J170" s="64">
        <v>0</v>
      </c>
      <c r="L170" s="64">
        <f>D170-H170</f>
        <v>95549</v>
      </c>
    </row>
    <row r="171" spans="1:12" ht="12.75">
      <c r="A171" s="20" t="s">
        <v>456</v>
      </c>
      <c r="D171" s="15">
        <v>650000</v>
      </c>
      <c r="F171" s="63">
        <v>650000</v>
      </c>
      <c r="H171" s="15">
        <v>650000</v>
      </c>
      <c r="J171" s="64">
        <f>F171-H171</f>
        <v>0</v>
      </c>
      <c r="L171" s="64">
        <f>D171-F171</f>
        <v>0</v>
      </c>
    </row>
    <row r="172" spans="1:12" ht="12.75">
      <c r="A172" s="20" t="s">
        <v>237</v>
      </c>
      <c r="D172" s="15">
        <v>500000</v>
      </c>
      <c r="F172" s="63">
        <v>250000</v>
      </c>
      <c r="H172" s="15">
        <v>0</v>
      </c>
      <c r="J172" s="64">
        <f>F172-H172</f>
        <v>250000</v>
      </c>
      <c r="L172" s="64">
        <f>D172-F172</f>
        <v>250000</v>
      </c>
    </row>
    <row r="173" spans="1:13" ht="15">
      <c r="A173" s="62"/>
      <c r="J173" s="64"/>
      <c r="L173" s="64"/>
      <c r="M173" s="175"/>
    </row>
    <row r="174" spans="1:12" ht="16.5">
      <c r="A174" s="174" t="s">
        <v>457</v>
      </c>
      <c r="D174" s="196">
        <f>SUM(D170:D172)</f>
        <v>2500000</v>
      </c>
      <c r="E174" s="198"/>
      <c r="F174" s="196">
        <f>SUM(F170:F172)</f>
        <v>900000</v>
      </c>
      <c r="G174" s="198"/>
      <c r="H174" s="196">
        <f>SUM(H170:H172)</f>
        <v>1904451</v>
      </c>
      <c r="I174" s="199"/>
      <c r="J174" s="196">
        <f>SUM(J170:J172)</f>
        <v>250000</v>
      </c>
      <c r="K174" s="199"/>
      <c r="L174" s="196">
        <f>SUM(L170:L172)</f>
        <v>345549</v>
      </c>
    </row>
    <row r="175" spans="4:12" ht="12.75">
      <c r="D175" s="75"/>
      <c r="E175" s="65"/>
      <c r="F175" s="77"/>
      <c r="G175" s="65"/>
      <c r="H175" s="75"/>
      <c r="J175" s="75"/>
      <c r="L175" s="75"/>
    </row>
    <row r="176" spans="5:7" ht="12.75">
      <c r="E176" s="65"/>
      <c r="F176" s="57"/>
      <c r="G176" s="65"/>
    </row>
    <row r="177" spans="1:7" ht="12.75">
      <c r="A177" s="200" t="s">
        <v>458</v>
      </c>
      <c r="E177" s="65"/>
      <c r="F177" s="57"/>
      <c r="G177" s="65"/>
    </row>
    <row r="178" spans="5:7" ht="12.75">
      <c r="E178" s="65"/>
      <c r="F178" s="57"/>
      <c r="G178" s="65"/>
    </row>
    <row r="179" spans="1:7" ht="12.75">
      <c r="A179" s="78" t="s">
        <v>460</v>
      </c>
      <c r="B179" s="19" t="s">
        <v>238</v>
      </c>
      <c r="C179" s="19" t="s">
        <v>239</v>
      </c>
      <c r="E179" s="65"/>
      <c r="F179" s="57"/>
      <c r="G179" s="65"/>
    </row>
    <row r="180" spans="1:12" ht="12.75">
      <c r="A180" s="66" t="s">
        <v>240</v>
      </c>
      <c r="D180" s="15">
        <v>4500000</v>
      </c>
      <c r="E180" s="65"/>
      <c r="F180" s="57"/>
      <c r="G180" s="65"/>
      <c r="H180" s="6">
        <v>0</v>
      </c>
      <c r="L180" s="64">
        <f>D180-H180</f>
        <v>4500000</v>
      </c>
    </row>
    <row r="181" spans="1:12" ht="12.75">
      <c r="A181" s="20" t="s">
        <v>241</v>
      </c>
      <c r="B181" s="58"/>
      <c r="C181" s="79"/>
      <c r="D181" s="76">
        <v>200000</v>
      </c>
      <c r="E181" s="65"/>
      <c r="F181" s="57"/>
      <c r="G181" s="65"/>
      <c r="H181" s="15">
        <f>81437+158190</f>
        <v>239627</v>
      </c>
      <c r="L181" s="64">
        <f>D181-H181</f>
        <v>-39627</v>
      </c>
    </row>
    <row r="182" spans="2:7" ht="12.75">
      <c r="B182" s="58"/>
      <c r="C182" s="79"/>
      <c r="E182" s="65"/>
      <c r="F182" s="57"/>
      <c r="G182" s="65"/>
    </row>
    <row r="183" spans="1:12" ht="12.75">
      <c r="A183" s="62" t="s">
        <v>242</v>
      </c>
      <c r="B183" s="58"/>
      <c r="C183" s="79"/>
      <c r="D183" s="65">
        <v>2000000</v>
      </c>
      <c r="H183" s="65">
        <f>2110676</f>
        <v>2110676</v>
      </c>
      <c r="I183" s="62"/>
      <c r="J183" s="62"/>
      <c r="K183" s="62"/>
      <c r="L183" s="80">
        <f>D183-H183</f>
        <v>-110676</v>
      </c>
    </row>
    <row r="184" spans="2:12" ht="12.75">
      <c r="B184" s="58"/>
      <c r="C184" s="79"/>
      <c r="H184" s="65"/>
      <c r="I184" s="62"/>
      <c r="J184" s="62"/>
      <c r="K184" s="62"/>
      <c r="L184" s="62"/>
    </row>
    <row r="185" spans="1:12" ht="12.75">
      <c r="A185" s="62" t="s">
        <v>243</v>
      </c>
      <c r="B185" s="58"/>
      <c r="C185" s="79"/>
      <c r="D185" s="65">
        <v>1574250</v>
      </c>
      <c r="H185" s="65">
        <f>3429895</f>
        <v>3429895</v>
      </c>
      <c r="I185" s="62"/>
      <c r="J185" s="62"/>
      <c r="K185" s="62"/>
      <c r="L185" s="80">
        <f>D185-H185</f>
        <v>-1855645</v>
      </c>
    </row>
    <row r="186" spans="2:3" ht="12.75">
      <c r="B186" s="58"/>
      <c r="C186" s="79"/>
    </row>
    <row r="187" spans="1:12" ht="12.75">
      <c r="A187" s="62" t="s">
        <v>461</v>
      </c>
      <c r="C187" s="79"/>
      <c r="D187" s="65">
        <v>1500000</v>
      </c>
      <c r="E187" s="65"/>
      <c r="F187" s="57"/>
      <c r="G187" s="65"/>
      <c r="H187" s="33">
        <f>1881171+2500+512244</f>
        <v>2395915</v>
      </c>
      <c r="I187" s="62"/>
      <c r="J187" s="62"/>
      <c r="K187" s="62"/>
      <c r="L187" s="80">
        <f>D187-H187</f>
        <v>-895915</v>
      </c>
    </row>
    <row r="188" spans="1:3" ht="12.75">
      <c r="A188" s="62" t="s">
        <v>462</v>
      </c>
      <c r="C188" s="79"/>
    </row>
    <row r="189" spans="1:3" ht="12.75">
      <c r="A189" s="62" t="s">
        <v>463</v>
      </c>
      <c r="C189" s="79"/>
    </row>
    <row r="190" spans="1:3" ht="12.75">
      <c r="A190" s="62"/>
      <c r="C190" s="79"/>
    </row>
    <row r="191" spans="1:3" ht="12.75">
      <c r="A191" s="62" t="s">
        <v>182</v>
      </c>
      <c r="B191" s="58" t="s">
        <v>244</v>
      </c>
      <c r="C191" s="81" t="s">
        <v>245</v>
      </c>
    </row>
    <row r="192" spans="1:12" ht="12.75">
      <c r="A192" s="20" t="s">
        <v>246</v>
      </c>
      <c r="B192" s="82">
        <v>190</v>
      </c>
      <c r="C192" s="79">
        <v>11050</v>
      </c>
      <c r="D192" s="15">
        <f>+C192*B192</f>
        <v>2099500</v>
      </c>
      <c r="H192" s="15">
        <f>3600030</f>
        <v>3600030</v>
      </c>
      <c r="L192" s="64">
        <f aca="true" t="shared" si="4" ref="L192:L197">D192-H192</f>
        <v>-1500530</v>
      </c>
    </row>
    <row r="193" spans="2:12" ht="12.75">
      <c r="B193" s="82">
        <v>60</v>
      </c>
      <c r="C193" s="79">
        <v>9800</v>
      </c>
      <c r="D193" s="15">
        <f>B193*C193</f>
        <v>588000</v>
      </c>
      <c r="H193" s="15">
        <v>0</v>
      </c>
      <c r="L193" s="64">
        <f t="shared" si="4"/>
        <v>588000</v>
      </c>
    </row>
    <row r="194" spans="1:12" ht="12.75">
      <c r="A194" s="20" t="s">
        <v>247</v>
      </c>
      <c r="B194" s="20">
        <v>18</v>
      </c>
      <c r="C194" s="79">
        <v>11050</v>
      </c>
      <c r="D194" s="15">
        <f>+C194*B194</f>
        <v>198900</v>
      </c>
      <c r="H194" s="15">
        <v>0</v>
      </c>
      <c r="L194" s="64">
        <f t="shared" si="4"/>
        <v>198900</v>
      </c>
    </row>
    <row r="195" spans="1:12" ht="12.75">
      <c r="A195" s="20" t="s">
        <v>248</v>
      </c>
      <c r="B195" s="20">
        <v>5</v>
      </c>
      <c r="C195" s="79">
        <v>58157</v>
      </c>
      <c r="D195" s="15">
        <f>B195*C195</f>
        <v>290785</v>
      </c>
      <c r="H195" s="15">
        <v>0</v>
      </c>
      <c r="L195" s="64">
        <f t="shared" si="4"/>
        <v>290785</v>
      </c>
    </row>
    <row r="196" spans="1:12" ht="12.75">
      <c r="A196" s="20" t="s">
        <v>249</v>
      </c>
      <c r="B196" s="20">
        <v>30</v>
      </c>
      <c r="C196" s="79">
        <v>3600</v>
      </c>
      <c r="D196" s="15">
        <f>B196*C196</f>
        <v>108000</v>
      </c>
      <c r="H196" s="15">
        <v>0</v>
      </c>
      <c r="L196" s="64">
        <f t="shared" si="4"/>
        <v>108000</v>
      </c>
    </row>
    <row r="197" spans="1:12" ht="12.75">
      <c r="A197" s="20" t="s">
        <v>250</v>
      </c>
      <c r="B197" s="58"/>
      <c r="C197" s="79"/>
      <c r="D197" s="15">
        <v>20000</v>
      </c>
      <c r="H197" s="15">
        <v>0</v>
      </c>
      <c r="L197" s="64">
        <f t="shared" si="4"/>
        <v>20000</v>
      </c>
    </row>
    <row r="198" spans="1:12" ht="12.75">
      <c r="A198" s="55"/>
      <c r="B198" s="58"/>
      <c r="C198" s="79"/>
      <c r="D198" s="65">
        <f>SUM(D191:D197)</f>
        <v>3305185</v>
      </c>
      <c r="E198" s="65"/>
      <c r="F198" s="57"/>
      <c r="G198" s="65"/>
      <c r="H198" s="65">
        <f>SUM(H191:H197)</f>
        <v>3600030</v>
      </c>
      <c r="L198" s="65">
        <f>SUM(L191:L197)</f>
        <v>-294845</v>
      </c>
    </row>
    <row r="199" spans="1:3" ht="12.75">
      <c r="A199" s="55"/>
      <c r="B199" s="58"/>
      <c r="C199" s="79"/>
    </row>
    <row r="200" spans="1:3" ht="12.75">
      <c r="A200" s="62" t="s">
        <v>183</v>
      </c>
      <c r="C200" s="79"/>
    </row>
    <row r="201" spans="1:12" ht="12.75">
      <c r="A201" s="20" t="s">
        <v>251</v>
      </c>
      <c r="B201" s="20">
        <v>250</v>
      </c>
      <c r="C201" s="79">
        <v>1708</v>
      </c>
      <c r="D201" s="15">
        <v>170800</v>
      </c>
      <c r="H201" s="15">
        <v>259303</v>
      </c>
      <c r="L201" s="64">
        <f>D201-H201</f>
        <v>-88503</v>
      </c>
    </row>
    <row r="202" spans="1:12" ht="12.75">
      <c r="A202" s="20" t="s">
        <v>252</v>
      </c>
      <c r="B202" s="20">
        <v>18</v>
      </c>
      <c r="C202" s="79">
        <v>1372</v>
      </c>
      <c r="D202" s="15">
        <v>49392</v>
      </c>
      <c r="H202" s="15">
        <f>24075</f>
        <v>24075</v>
      </c>
      <c r="L202" s="64">
        <f>D202-H202</f>
        <v>25317</v>
      </c>
    </row>
    <row r="203" spans="1:12" ht="12.75">
      <c r="A203" s="20" t="s">
        <v>253</v>
      </c>
      <c r="B203" s="20">
        <v>5</v>
      </c>
      <c r="C203" s="79">
        <v>6405</v>
      </c>
      <c r="D203" s="15">
        <v>64050</v>
      </c>
      <c r="H203" s="15">
        <v>0</v>
      </c>
      <c r="L203" s="64">
        <f>D203-H203</f>
        <v>64050</v>
      </c>
    </row>
    <row r="204" spans="1:12" ht="12.75">
      <c r="A204" s="20" t="s">
        <v>254</v>
      </c>
      <c r="B204" s="20">
        <v>30</v>
      </c>
      <c r="C204" s="79">
        <v>1662</v>
      </c>
      <c r="D204" s="15">
        <v>99720</v>
      </c>
      <c r="H204" s="15">
        <v>0</v>
      </c>
      <c r="L204" s="64">
        <f>D204-H204</f>
        <v>99720</v>
      </c>
    </row>
    <row r="205" spans="1:12" ht="12.75">
      <c r="A205" s="20" t="s">
        <v>255</v>
      </c>
      <c r="C205" s="79"/>
      <c r="D205" s="15">
        <v>16038</v>
      </c>
      <c r="E205" s="65"/>
      <c r="F205" s="57"/>
      <c r="G205" s="65"/>
      <c r="H205" s="15">
        <v>0</v>
      </c>
      <c r="L205" s="64">
        <f>D205-H205</f>
        <v>16038</v>
      </c>
    </row>
    <row r="206" spans="3:12" ht="12.75">
      <c r="C206" s="79"/>
      <c r="D206" s="65">
        <f>SUM(D201:D205)</f>
        <v>400000</v>
      </c>
      <c r="E206" s="65"/>
      <c r="F206" s="57"/>
      <c r="G206" s="65"/>
      <c r="H206" s="65">
        <f>SUM(H201:H205)</f>
        <v>283378</v>
      </c>
      <c r="L206" s="65">
        <f>SUM(L201:L205)</f>
        <v>116622</v>
      </c>
    </row>
    <row r="207" spans="3:12" ht="12.75">
      <c r="C207" s="79"/>
      <c r="D207" s="65"/>
      <c r="E207" s="65"/>
      <c r="F207" s="57"/>
      <c r="G207" s="65"/>
      <c r="L207" s="64"/>
    </row>
    <row r="208" spans="1:12" ht="12.75">
      <c r="A208" s="62" t="s">
        <v>364</v>
      </c>
      <c r="C208" s="83"/>
      <c r="D208" s="75">
        <v>1000000</v>
      </c>
      <c r="E208" s="75"/>
      <c r="F208" s="77"/>
      <c r="G208" s="75"/>
      <c r="H208" s="65">
        <f>1147795</f>
        <v>1147795</v>
      </c>
      <c r="L208" s="65">
        <f>D208-H208</f>
        <v>-147795</v>
      </c>
    </row>
    <row r="210" spans="1:12" ht="12.75">
      <c r="A210" s="62" t="s">
        <v>185</v>
      </c>
      <c r="D210" s="65">
        <v>100000</v>
      </c>
      <c r="E210" s="20"/>
      <c r="F210" s="82"/>
      <c r="G210" s="20"/>
      <c r="H210" s="65">
        <f>269567+27724</f>
        <v>297291</v>
      </c>
      <c r="L210" s="80">
        <f>D210-H210</f>
        <v>-197291</v>
      </c>
    </row>
    <row r="211" spans="3:7" ht="12.75">
      <c r="C211" s="79"/>
      <c r="D211" s="75"/>
      <c r="E211" s="65"/>
      <c r="F211" s="57"/>
      <c r="G211" s="65"/>
    </row>
    <row r="212" spans="1:12" ht="12.75">
      <c r="A212" s="62" t="s">
        <v>361</v>
      </c>
      <c r="D212" s="75">
        <v>50000</v>
      </c>
      <c r="E212" s="65"/>
      <c r="F212" s="57"/>
      <c r="G212" s="65"/>
      <c r="H212" s="65">
        <f>25551</f>
        <v>25551</v>
      </c>
      <c r="L212" s="80">
        <f>D212-H212</f>
        <v>24449</v>
      </c>
    </row>
    <row r="213" spans="1:8" ht="12.75">
      <c r="A213" s="62"/>
      <c r="D213" s="75"/>
      <c r="E213" s="65"/>
      <c r="F213" s="57"/>
      <c r="G213" s="65"/>
      <c r="H213" s="75"/>
    </row>
    <row r="214" spans="1:12" ht="12.75">
      <c r="A214" s="62" t="s">
        <v>312</v>
      </c>
      <c r="D214" s="15">
        <v>100000</v>
      </c>
      <c r="E214" s="65"/>
      <c r="F214" s="57"/>
      <c r="G214" s="65"/>
      <c r="L214" s="64">
        <f>D214-H214</f>
        <v>100000</v>
      </c>
    </row>
    <row r="215" spans="1:12" ht="12.75">
      <c r="A215" s="20" t="s">
        <v>362</v>
      </c>
      <c r="D215" s="15">
        <v>175000</v>
      </c>
      <c r="E215" s="65"/>
      <c r="F215" s="57"/>
      <c r="G215" s="65"/>
      <c r="H215" s="6">
        <f>143309+163875+44630+12200+49366+1455559</f>
        <v>1868939</v>
      </c>
      <c r="L215" s="64">
        <f>D215-H215</f>
        <v>-1693939</v>
      </c>
    </row>
    <row r="216" spans="5:12" ht="12.75">
      <c r="E216" s="65"/>
      <c r="F216" s="57"/>
      <c r="G216" s="65"/>
      <c r="L216" s="64"/>
    </row>
    <row r="217" spans="1:12" ht="12.75">
      <c r="A217" s="62"/>
      <c r="D217" s="75">
        <f>SUM(D214:D215)</f>
        <v>275000</v>
      </c>
      <c r="E217" s="65"/>
      <c r="F217" s="77">
        <f>SUM(F214:F215)</f>
        <v>0</v>
      </c>
      <c r="G217" s="65"/>
      <c r="H217" s="75">
        <f>SUM(H214:H215)</f>
        <v>1868939</v>
      </c>
      <c r="J217" s="75">
        <f>SUM(J214:J215)</f>
        <v>0</v>
      </c>
      <c r="L217" s="75">
        <f>SUM(L214:L215)</f>
        <v>-1593939</v>
      </c>
    </row>
    <row r="218" spans="1:8" ht="12.75">
      <c r="A218" s="62"/>
      <c r="D218" s="75"/>
      <c r="E218" s="65"/>
      <c r="F218" s="57"/>
      <c r="G218" s="65"/>
      <c r="H218" s="75"/>
    </row>
    <row r="219" spans="1:7" ht="12.75">
      <c r="A219" s="62" t="s">
        <v>256</v>
      </c>
      <c r="E219" s="65"/>
      <c r="F219" s="57"/>
      <c r="G219" s="65"/>
    </row>
    <row r="220" spans="1:12" ht="12.75">
      <c r="A220" s="20" t="s">
        <v>313</v>
      </c>
      <c r="D220" s="15">
        <v>100000</v>
      </c>
      <c r="E220" s="65"/>
      <c r="F220" s="57"/>
      <c r="G220" s="65"/>
      <c r="L220" s="64">
        <f>D220-H220</f>
        <v>100000</v>
      </c>
    </row>
    <row r="221" spans="1:12" ht="12.75">
      <c r="A221" s="20" t="s">
        <v>257</v>
      </c>
      <c r="D221" s="15">
        <v>100000</v>
      </c>
      <c r="E221" s="65"/>
      <c r="F221" s="57"/>
      <c r="G221" s="65"/>
      <c r="L221" s="64">
        <f>D221-H221</f>
        <v>100000</v>
      </c>
    </row>
    <row r="222" spans="1:12" ht="12.75">
      <c r="A222" s="20" t="s">
        <v>259</v>
      </c>
      <c r="D222" s="15">
        <v>400000</v>
      </c>
      <c r="H222" s="15">
        <v>700000</v>
      </c>
      <c r="L222" s="64">
        <f>D222-H222</f>
        <v>-300000</v>
      </c>
    </row>
    <row r="223" spans="1:12" ht="12.75">
      <c r="A223" s="20" t="s">
        <v>258</v>
      </c>
      <c r="D223" s="15">
        <v>300000</v>
      </c>
      <c r="E223" s="65"/>
      <c r="F223" s="57"/>
      <c r="G223" s="65"/>
      <c r="H223" s="15">
        <v>31500</v>
      </c>
      <c r="I223" s="62"/>
      <c r="J223" s="62"/>
      <c r="K223" s="62"/>
      <c r="L223" s="64">
        <f>D223-H223</f>
        <v>268500</v>
      </c>
    </row>
    <row r="224" spans="4:12" ht="12.75">
      <c r="D224" s="65">
        <f>SUM(D219:D223)</f>
        <v>900000</v>
      </c>
      <c r="E224" s="65"/>
      <c r="F224" s="57">
        <v>700000</v>
      </c>
      <c r="G224" s="65"/>
      <c r="H224" s="65">
        <f>SUM(H219:H223)</f>
        <v>731500</v>
      </c>
      <c r="J224" s="65">
        <f>F224</f>
        <v>700000</v>
      </c>
      <c r="L224" s="65">
        <f>D224-F224</f>
        <v>200000</v>
      </c>
    </row>
    <row r="225" spans="5:7" ht="12.75">
      <c r="E225" s="65"/>
      <c r="F225" s="57"/>
      <c r="G225" s="65"/>
    </row>
    <row r="226" spans="1:12" ht="12.75">
      <c r="A226" s="62" t="s">
        <v>501</v>
      </c>
      <c r="D226" s="15">
        <v>325000</v>
      </c>
      <c r="H226" s="15">
        <v>0</v>
      </c>
      <c r="L226" s="64">
        <f>D226-H226</f>
        <v>325000</v>
      </c>
    </row>
    <row r="227" spans="1:12" ht="12.75">
      <c r="A227" s="62"/>
      <c r="D227" s="65">
        <f>SUM(D226:D226)</f>
        <v>325000</v>
      </c>
      <c r="E227" s="65"/>
      <c r="F227" s="57"/>
      <c r="G227" s="65"/>
      <c r="H227" s="65">
        <f>SUM(H226:H226)</f>
        <v>0</v>
      </c>
      <c r="L227" s="65">
        <f>SUM(L226:L226)</f>
        <v>325000</v>
      </c>
    </row>
    <row r="228" spans="1:12" ht="12.75">
      <c r="A228" s="62"/>
      <c r="D228" s="65"/>
      <c r="E228" s="65"/>
      <c r="F228" s="57"/>
      <c r="G228" s="65"/>
      <c r="H228" s="65"/>
      <c r="L228" s="65"/>
    </row>
    <row r="229" ht="12.75">
      <c r="A229" s="62" t="s">
        <v>260</v>
      </c>
    </row>
    <row r="230" spans="1:12" ht="12.75">
      <c r="A230" s="20" t="s">
        <v>261</v>
      </c>
      <c r="D230" s="15">
        <v>300000</v>
      </c>
      <c r="E230" s="65"/>
      <c r="F230" s="57"/>
      <c r="G230" s="65"/>
      <c r="L230" s="64">
        <f>D230-H230</f>
        <v>300000</v>
      </c>
    </row>
    <row r="231" spans="1:12" ht="12.75">
      <c r="A231" s="20" t="s">
        <v>262</v>
      </c>
      <c r="B231" s="65"/>
      <c r="D231" s="15">
        <v>100000</v>
      </c>
      <c r="E231" s="65"/>
      <c r="F231" s="57"/>
      <c r="G231" s="65"/>
      <c r="H231" s="15">
        <v>1953</v>
      </c>
      <c r="L231" s="64">
        <f>D231-H231</f>
        <v>98047</v>
      </c>
    </row>
    <row r="232" spans="1:12" ht="12.75">
      <c r="A232" s="20" t="s">
        <v>263</v>
      </c>
      <c r="D232" s="15">
        <v>50000</v>
      </c>
      <c r="E232" s="65"/>
      <c r="F232" s="57"/>
      <c r="G232" s="65"/>
      <c r="L232" s="64">
        <f>D232-H232</f>
        <v>50000</v>
      </c>
    </row>
    <row r="233" spans="1:12" ht="12.75">
      <c r="A233" s="20" t="s">
        <v>264</v>
      </c>
      <c r="D233" s="15">
        <v>50000</v>
      </c>
      <c r="E233" s="65"/>
      <c r="F233" s="57"/>
      <c r="G233" s="65"/>
      <c r="H233" s="6">
        <v>53600</v>
      </c>
      <c r="L233" s="64">
        <f>D233-H233</f>
        <v>-3600</v>
      </c>
    </row>
    <row r="234" spans="5:12" ht="12.75">
      <c r="E234" s="65"/>
      <c r="F234" s="57"/>
      <c r="G234" s="65"/>
      <c r="H234" s="6"/>
      <c r="L234" s="64"/>
    </row>
    <row r="235" spans="4:12" ht="12.75">
      <c r="D235" s="65">
        <f>SUM(D230:D233)</f>
        <v>500000</v>
      </c>
      <c r="E235" s="65"/>
      <c r="F235" s="57"/>
      <c r="G235" s="65"/>
      <c r="H235" s="33">
        <f>SUM(H230:H233)</f>
        <v>55553</v>
      </c>
      <c r="L235" s="65">
        <f>SUM(L230:L233)</f>
        <v>444447</v>
      </c>
    </row>
    <row r="236" spans="1:7" ht="12.75">
      <c r="A236" s="62"/>
      <c r="E236" s="65"/>
      <c r="F236" s="57"/>
      <c r="G236" s="65"/>
    </row>
    <row r="237" spans="1:7" ht="12.75">
      <c r="A237" s="62" t="s">
        <v>265</v>
      </c>
      <c r="E237" s="65"/>
      <c r="F237" s="57"/>
      <c r="G237" s="65"/>
    </row>
    <row r="238" spans="1:12" ht="12.75">
      <c r="A238" s="20" t="s">
        <v>266</v>
      </c>
      <c r="D238" s="63">
        <v>250000</v>
      </c>
      <c r="E238" s="65"/>
      <c r="F238" s="57"/>
      <c r="G238" s="65"/>
      <c r="H238" s="15">
        <v>74898</v>
      </c>
      <c r="L238" s="64">
        <f aca="true" t="shared" si="5" ref="L238:L243">D238-H238</f>
        <v>175102</v>
      </c>
    </row>
    <row r="239" spans="1:12" ht="12.75">
      <c r="A239" s="20" t="s">
        <v>267</v>
      </c>
      <c r="D239" s="63">
        <v>150000</v>
      </c>
      <c r="L239" s="64">
        <f t="shared" si="5"/>
        <v>150000</v>
      </c>
    </row>
    <row r="240" spans="1:12" ht="12.75">
      <c r="A240" s="20" t="s">
        <v>363</v>
      </c>
      <c r="D240" s="63"/>
      <c r="E240" s="65"/>
      <c r="F240" s="57"/>
      <c r="G240" s="65"/>
      <c r="H240" s="6"/>
      <c r="L240" s="64">
        <f t="shared" si="5"/>
        <v>0</v>
      </c>
    </row>
    <row r="241" spans="1:12" ht="12.75">
      <c r="A241" s="20" t="s">
        <v>268</v>
      </c>
      <c r="D241" s="63"/>
      <c r="E241" s="65"/>
      <c r="F241" s="57"/>
      <c r="G241" s="65"/>
      <c r="H241" s="6">
        <f>14540002+1838555.76</f>
        <v>16378557.76</v>
      </c>
      <c r="L241" s="64">
        <f t="shared" si="5"/>
        <v>-16378557.76</v>
      </c>
    </row>
    <row r="242" spans="1:12" ht="12.75">
      <c r="A242" s="20" t="s">
        <v>269</v>
      </c>
      <c r="D242" s="63"/>
      <c r="E242" s="65"/>
      <c r="F242" s="57"/>
      <c r="G242" s="65"/>
      <c r="L242" s="64">
        <f t="shared" si="5"/>
        <v>0</v>
      </c>
    </row>
    <row r="243" spans="1:12" ht="12.75">
      <c r="A243" s="20" t="s">
        <v>365</v>
      </c>
      <c r="D243" s="63"/>
      <c r="E243" s="65"/>
      <c r="F243" s="57"/>
      <c r="G243" s="65"/>
      <c r="H243" s="6"/>
      <c r="L243" s="64">
        <f t="shared" si="5"/>
        <v>0</v>
      </c>
    </row>
    <row r="244" spans="4:12" ht="12.75">
      <c r="D244" s="63"/>
      <c r="E244" s="65"/>
      <c r="F244" s="57"/>
      <c r="G244" s="65"/>
      <c r="H244" s="6"/>
      <c r="L244" s="64"/>
    </row>
    <row r="245" spans="4:12" ht="12.75">
      <c r="D245" s="65">
        <f>SUM(D238:D243)</f>
        <v>400000</v>
      </c>
      <c r="E245" s="57"/>
      <c r="F245" s="57"/>
      <c r="G245" s="57"/>
      <c r="H245" s="65">
        <f>SUM(H238:H243)</f>
        <v>16453455.76</v>
      </c>
      <c r="L245" s="65">
        <f>SUM(L238:L243)</f>
        <v>-16053455.76</v>
      </c>
    </row>
    <row r="246" spans="4:12" ht="12.75">
      <c r="D246" s="65"/>
      <c r="E246" s="57"/>
      <c r="F246" s="57"/>
      <c r="G246" s="57"/>
      <c r="H246" s="65"/>
      <c r="L246" s="65"/>
    </row>
    <row r="247" spans="1:12" ht="12.75">
      <c r="A247" s="174" t="s">
        <v>379</v>
      </c>
      <c r="D247" s="65">
        <f>D245+D235++D227+D224+D217+D212+D210+D208+D206+D198+D187++D185+D183+D181+D180</f>
        <v>17029435</v>
      </c>
      <c r="E247" s="57"/>
      <c r="F247" s="57"/>
      <c r="G247" s="57"/>
      <c r="H247" s="65">
        <f>H245+H235+H224+H217+H212+H210++H208+H206+H198+H187+H185+H183+H181</f>
        <v>32639605.759999998</v>
      </c>
      <c r="L247" s="65"/>
    </row>
    <row r="248" spans="5:7" ht="12.75">
      <c r="E248" s="65"/>
      <c r="F248" s="57"/>
      <c r="G248" s="65"/>
    </row>
    <row r="249" spans="1:4" ht="12.75">
      <c r="A249" s="62" t="s">
        <v>186</v>
      </c>
      <c r="D249" s="15">
        <v>1200000</v>
      </c>
    </row>
    <row r="250" spans="1:12" ht="12.75">
      <c r="A250" s="20" t="s">
        <v>359</v>
      </c>
      <c r="E250" s="65"/>
      <c r="F250" s="57"/>
      <c r="G250" s="65"/>
      <c r="H250" s="6">
        <f>36000+12259+1198010.97+16357+186350.5+80899+96465+61430+5033+110343+21935+827+446982+600</f>
        <v>2273491.4699999997</v>
      </c>
      <c r="L250" s="64"/>
    </row>
    <row r="251" spans="1:14" ht="12.75">
      <c r="A251" s="20" t="s">
        <v>270</v>
      </c>
      <c r="E251" s="65"/>
      <c r="F251" s="57"/>
      <c r="G251" s="65"/>
      <c r="H251" s="6">
        <f>2373686+910892</f>
        <v>3284578</v>
      </c>
      <c r="L251" s="64"/>
      <c r="N251" s="64">
        <f>H259+H247+2651763</f>
        <v>42278893.37</v>
      </c>
    </row>
    <row r="252" spans="1:12" ht="12.75">
      <c r="A252" s="20" t="s">
        <v>370</v>
      </c>
      <c r="E252" s="65"/>
      <c r="F252" s="57"/>
      <c r="G252" s="65"/>
      <c r="H252" s="6">
        <v>441410.62</v>
      </c>
      <c r="L252" s="64"/>
    </row>
    <row r="253" spans="1:12" ht="12.75">
      <c r="A253" s="20" t="s">
        <v>356</v>
      </c>
      <c r="B253" s="58"/>
      <c r="C253" s="58"/>
      <c r="E253" s="65"/>
      <c r="F253" s="57"/>
      <c r="G253" s="65"/>
      <c r="H253" s="15">
        <f>224090+739+15476+406816</f>
        <v>647121</v>
      </c>
      <c r="L253" s="64"/>
    </row>
    <row r="254" spans="1:12" ht="12.75">
      <c r="A254" s="7" t="s">
        <v>536</v>
      </c>
      <c r="B254" s="58"/>
      <c r="C254" s="58"/>
      <c r="E254" s="65"/>
      <c r="F254" s="57"/>
      <c r="G254" s="65"/>
      <c r="H254" s="6">
        <v>137545</v>
      </c>
      <c r="L254" s="64"/>
    </row>
    <row r="255" spans="1:12" ht="12.75">
      <c r="A255" s="7" t="s">
        <v>535</v>
      </c>
      <c r="B255" s="58"/>
      <c r="C255" s="58"/>
      <c r="E255" s="65"/>
      <c r="F255" s="57"/>
      <c r="G255" s="65"/>
      <c r="H255" s="6">
        <v>91956</v>
      </c>
      <c r="L255" s="64"/>
    </row>
    <row r="256" spans="1:12" ht="12.75">
      <c r="A256" s="20" t="s">
        <v>271</v>
      </c>
      <c r="B256" s="58"/>
      <c r="C256" s="58"/>
      <c r="E256" s="65"/>
      <c r="F256" s="57"/>
      <c r="G256" s="65"/>
      <c r="H256" s="15">
        <v>51422.52</v>
      </c>
      <c r="L256" s="64"/>
    </row>
    <row r="257" spans="1:12" ht="12.75">
      <c r="A257" s="20" t="s">
        <v>464</v>
      </c>
      <c r="B257" s="58"/>
      <c r="C257" s="58"/>
      <c r="E257" s="65"/>
      <c r="F257" s="57"/>
      <c r="G257" s="65"/>
      <c r="H257" s="15">
        <v>60000</v>
      </c>
      <c r="L257" s="64"/>
    </row>
    <row r="258" spans="2:14" ht="12.75">
      <c r="B258" s="58"/>
      <c r="C258" s="58"/>
      <c r="E258" s="65"/>
      <c r="F258" s="57"/>
      <c r="G258" s="65"/>
      <c r="L258" s="64"/>
      <c r="N258" s="192"/>
    </row>
    <row r="259" spans="1:14" ht="12.75">
      <c r="A259" s="174" t="s">
        <v>380</v>
      </c>
      <c r="B259" s="58"/>
      <c r="C259" s="58"/>
      <c r="D259" s="65">
        <f>SUM(D249:D256)</f>
        <v>1200000</v>
      </c>
      <c r="E259" s="65"/>
      <c r="F259" s="57"/>
      <c r="G259" s="65"/>
      <c r="H259" s="65">
        <f>SUM(H249:H257)</f>
        <v>6987524.609999999</v>
      </c>
      <c r="L259" s="65">
        <f>D259-H259</f>
        <v>-5787524.609999999</v>
      </c>
      <c r="N259" s="64"/>
    </row>
    <row r="260" spans="2:12" ht="12.75">
      <c r="B260" s="58"/>
      <c r="C260" s="58"/>
      <c r="D260" s="65"/>
      <c r="E260" s="65"/>
      <c r="F260" s="57"/>
      <c r="G260" s="65"/>
      <c r="H260" s="65"/>
      <c r="L260" s="65"/>
    </row>
    <row r="261" spans="2:14" ht="12.75">
      <c r="B261" s="58"/>
      <c r="C261" s="58"/>
      <c r="D261" s="65"/>
      <c r="E261" s="65"/>
      <c r="F261" s="57"/>
      <c r="G261" s="65"/>
      <c r="H261" s="65"/>
      <c r="L261" s="65"/>
      <c r="N261" s="192"/>
    </row>
    <row r="262" spans="5:7" ht="12.75">
      <c r="E262" s="65"/>
      <c r="F262" s="57"/>
      <c r="G262" s="65"/>
    </row>
    <row r="263" spans="1:7" ht="12.75">
      <c r="A263" s="62" t="s">
        <v>187</v>
      </c>
      <c r="E263" s="65"/>
      <c r="F263" s="57"/>
      <c r="G263" s="65"/>
    </row>
    <row r="264" spans="1:12" ht="12.75">
      <c r="A264" s="20" t="s">
        <v>272</v>
      </c>
      <c r="D264" s="65">
        <v>150000</v>
      </c>
      <c r="E264" s="65"/>
      <c r="F264" s="57"/>
      <c r="G264" s="65"/>
      <c r="H264" s="65">
        <v>242592</v>
      </c>
      <c r="I264" s="62"/>
      <c r="J264" s="62"/>
      <c r="K264" s="62"/>
      <c r="L264" s="80">
        <f>D264-H264</f>
        <v>-92592</v>
      </c>
    </row>
    <row r="265" spans="4:14" ht="12.75">
      <c r="D265" s="65"/>
      <c r="E265" s="65"/>
      <c r="F265" s="57"/>
      <c r="G265" s="65"/>
      <c r="N265" s="64"/>
    </row>
    <row r="266" spans="1:13" ht="12.75">
      <c r="A266" s="20" t="s">
        <v>273</v>
      </c>
      <c r="D266" s="65">
        <v>2000000</v>
      </c>
      <c r="E266" s="65"/>
      <c r="F266" s="57"/>
      <c r="G266" s="65"/>
      <c r="H266" s="65">
        <v>23022</v>
      </c>
      <c r="I266" s="62"/>
      <c r="J266" s="62"/>
      <c r="K266" s="62"/>
      <c r="L266" s="80">
        <f>D266-H266</f>
        <v>1976978</v>
      </c>
      <c r="M266" s="62"/>
    </row>
    <row r="267" spans="4:14" ht="12.75">
      <c r="D267" s="65"/>
      <c r="E267" s="65"/>
      <c r="F267" s="57"/>
      <c r="G267" s="65"/>
      <c r="H267" s="65"/>
      <c r="I267" s="62"/>
      <c r="J267" s="62"/>
      <c r="K267" s="62"/>
      <c r="L267" s="80"/>
      <c r="M267" s="62"/>
      <c r="N267" s="192"/>
    </row>
    <row r="268" spans="1:12" ht="13.5" thickBot="1">
      <c r="A268" s="170" t="s">
        <v>381</v>
      </c>
      <c r="D268" s="193">
        <f>D259+D247+D174+D165+D65+D264+D266</f>
        <v>44030435</v>
      </c>
      <c r="E268" s="65"/>
      <c r="F268" s="57"/>
      <c r="G268" s="65"/>
      <c r="H268" s="193">
        <f>H266+H264+H259+H247+H174+H165+H65</f>
        <v>66939067.37</v>
      </c>
      <c r="J268" s="193">
        <f>SUM(J259:J266)+J245+J235+J227+J224+J217+J212+J210+J208+J206+J198+J187+J185+J183+#REF!+J174+J77+J132+J109+J126+J163+J104+J82+J138+J97+J156+J153+J149+J63+J12+J172+J112</f>
        <v>2426000</v>
      </c>
      <c r="L268" s="193">
        <f>SUM(L259:L266)+L245+L235+L227+L224+L217+L212+L210+L208+L206+L198+L187+L185+L183+#REF!+L174+L77+L132+L109+L126+L163+L104+L82+L138+L97+L156+L153+L149+L63+L12+L172+L112</f>
        <v>-2734777.8900000006</v>
      </c>
    </row>
    <row r="269" ht="13.5" thickTop="1"/>
    <row r="270" ht="12.75">
      <c r="A270" s="20" t="s">
        <v>174</v>
      </c>
    </row>
  </sheetData>
  <sheetProtection/>
  <mergeCells count="2">
    <mergeCell ref="A1:E2"/>
    <mergeCell ref="A3:A4"/>
  </mergeCells>
  <printOptions gridLines="1"/>
  <pageMargins left="0.75" right="0.25" top="0.5" bottom="0.25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70"/>
  <sheetViews>
    <sheetView zoomScalePageLayoutView="0" workbookViewId="0" topLeftCell="A1">
      <pane ySplit="4" topLeftCell="BM100" activePane="bottomLeft" state="frozen"/>
      <selection pane="topLeft" activeCell="A1" sqref="A1"/>
      <selection pane="bottomLeft" activeCell="B99" sqref="B99"/>
    </sheetView>
  </sheetViews>
  <sheetFormatPr defaultColWidth="8.8515625" defaultRowHeight="12.75"/>
  <cols>
    <col min="1" max="1" width="4.421875" style="7" customWidth="1"/>
    <col min="2" max="2" width="39.28125" style="7" customWidth="1"/>
    <col min="3" max="3" width="15.140625" style="6" bestFit="1" customWidth="1"/>
    <col min="4" max="4" width="0.9921875" style="6" customWidth="1"/>
    <col min="5" max="5" width="17.140625" style="50" customWidth="1"/>
    <col min="6" max="6" width="0.9921875" style="6" customWidth="1"/>
    <col min="7" max="7" width="19.28125" style="6" bestFit="1" customWidth="1"/>
    <col min="8" max="8" width="0.9921875" style="7" customWidth="1"/>
    <col min="9" max="9" width="15.140625" style="7" bestFit="1" customWidth="1"/>
    <col min="10" max="10" width="0.9921875" style="7" customWidth="1"/>
    <col min="11" max="11" width="16.421875" style="7" bestFit="1" customWidth="1"/>
    <col min="12" max="16384" width="8.8515625" style="7" customWidth="1"/>
  </cols>
  <sheetData>
    <row r="2" spans="2:6" ht="21.75">
      <c r="B2" s="307" t="s">
        <v>633</v>
      </c>
      <c r="C2" s="307"/>
      <c r="D2" s="307"/>
      <c r="E2" s="179"/>
      <c r="F2" s="43"/>
    </row>
    <row r="3" spans="2:11" ht="12.75">
      <c r="B3" s="326" t="s">
        <v>152</v>
      </c>
      <c r="C3" s="8" t="s">
        <v>159</v>
      </c>
      <c r="E3" s="8" t="s">
        <v>167</v>
      </c>
      <c r="G3" s="8" t="s">
        <v>168</v>
      </c>
      <c r="I3" s="31" t="s">
        <v>169</v>
      </c>
      <c r="K3" s="31" t="s">
        <v>170</v>
      </c>
    </row>
    <row r="4" spans="2:11" ht="12.75">
      <c r="B4" s="327"/>
      <c r="C4" s="26" t="s">
        <v>171</v>
      </c>
      <c r="D4" s="8"/>
      <c r="E4" s="26" t="s">
        <v>171</v>
      </c>
      <c r="F4" s="8"/>
      <c r="G4" s="180" t="s">
        <v>368</v>
      </c>
      <c r="I4" s="26" t="s">
        <v>172</v>
      </c>
      <c r="K4" s="32" t="str">
        <f>G4</f>
        <v>30.06.2007</v>
      </c>
    </row>
    <row r="5" ht="12.75">
      <c r="B5" s="181" t="s">
        <v>173</v>
      </c>
    </row>
    <row r="6" spans="2:11" ht="12.75">
      <c r="B6" s="7" t="s">
        <v>593</v>
      </c>
      <c r="D6" s="7"/>
      <c r="F6" s="7"/>
      <c r="G6" s="6">
        <v>350000</v>
      </c>
      <c r="I6" s="45"/>
      <c r="K6" s="45"/>
    </row>
    <row r="7" spans="1:7" ht="12.75">
      <c r="A7" s="44"/>
      <c r="B7" s="7" t="s">
        <v>663</v>
      </c>
      <c r="E7" s="50" t="s">
        <v>46</v>
      </c>
      <c r="G7" s="6">
        <v>15000</v>
      </c>
    </row>
    <row r="8" spans="1:7" ht="12.75">
      <c r="A8" s="44"/>
      <c r="B8" s="7" t="s">
        <v>0</v>
      </c>
      <c r="E8" s="50">
        <v>11100000</v>
      </c>
      <c r="G8" s="6">
        <v>7500000</v>
      </c>
    </row>
    <row r="9" spans="1:7" ht="12.75">
      <c r="A9" s="44"/>
      <c r="B9" s="7" t="s">
        <v>83</v>
      </c>
      <c r="E9" s="50">
        <v>110000</v>
      </c>
      <c r="G9" s="6">
        <v>100000</v>
      </c>
    </row>
    <row r="10" spans="2:11" ht="12.75">
      <c r="B10" s="7" t="s">
        <v>634</v>
      </c>
      <c r="E10" s="50">
        <v>300000</v>
      </c>
      <c r="G10" s="6">
        <v>280000</v>
      </c>
      <c r="I10" s="45"/>
      <c r="K10" s="45"/>
    </row>
    <row r="11" spans="2:11" ht="12.75">
      <c r="B11" s="7" t="s">
        <v>698</v>
      </c>
      <c r="E11" s="50" t="s">
        <v>76</v>
      </c>
      <c r="G11" s="6">
        <v>15000</v>
      </c>
      <c r="I11" s="45"/>
      <c r="K11" s="45"/>
    </row>
    <row r="12" spans="2:11" ht="12.75">
      <c r="B12" s="7" t="s">
        <v>664</v>
      </c>
      <c r="E12" s="50" t="s">
        <v>56</v>
      </c>
      <c r="G12" s="6">
        <v>24000</v>
      </c>
      <c r="I12" s="45"/>
      <c r="K12" s="45"/>
    </row>
    <row r="13" spans="2:11" ht="12.75">
      <c r="B13" s="7" t="s">
        <v>88</v>
      </c>
      <c r="E13" s="50">
        <v>35000</v>
      </c>
      <c r="G13" s="6">
        <v>40000</v>
      </c>
      <c r="I13" s="45"/>
      <c r="K13" s="45"/>
    </row>
    <row r="14" spans="2:11" ht="12.75">
      <c r="B14" s="7" t="s">
        <v>85</v>
      </c>
      <c r="E14" s="50" t="s">
        <v>77</v>
      </c>
      <c r="G14" s="6">
        <v>6000</v>
      </c>
      <c r="I14" s="45"/>
      <c r="K14" s="45"/>
    </row>
    <row r="15" spans="2:11" ht="12.75">
      <c r="B15" s="7" t="s">
        <v>635</v>
      </c>
      <c r="E15" s="50">
        <v>51000</v>
      </c>
      <c r="G15" s="6">
        <v>21000</v>
      </c>
      <c r="I15" s="45"/>
      <c r="K15" s="45"/>
    </row>
    <row r="16" spans="2:11" ht="12.75">
      <c r="B16" s="7" t="s">
        <v>1</v>
      </c>
      <c r="E16" s="50">
        <v>450000</v>
      </c>
      <c r="G16" s="6">
        <v>400000</v>
      </c>
      <c r="I16" s="45"/>
      <c r="K16" s="45"/>
    </row>
    <row r="17" spans="2:11" ht="12.75">
      <c r="B17" s="7" t="s">
        <v>636</v>
      </c>
      <c r="E17" s="50">
        <v>300000</v>
      </c>
      <c r="G17" s="6">
        <v>1000</v>
      </c>
      <c r="I17" s="45"/>
      <c r="K17" s="45"/>
    </row>
    <row r="18" spans="2:11" ht="12.75">
      <c r="B18" s="7" t="s">
        <v>2</v>
      </c>
      <c r="E18" s="50">
        <v>40000</v>
      </c>
      <c r="G18" s="6">
        <v>26000</v>
      </c>
      <c r="I18" s="45"/>
      <c r="K18" s="45"/>
    </row>
    <row r="19" spans="2:11" ht="12.75">
      <c r="B19" s="7" t="s">
        <v>665</v>
      </c>
      <c r="G19" s="6">
        <v>110000</v>
      </c>
      <c r="I19" s="45"/>
      <c r="K19" s="45"/>
    </row>
    <row r="20" spans="2:11" ht="12.75">
      <c r="B20" s="7" t="s">
        <v>666</v>
      </c>
      <c r="E20" s="50" t="s">
        <v>62</v>
      </c>
      <c r="G20" s="6">
        <v>160000</v>
      </c>
      <c r="I20" s="45"/>
      <c r="K20" s="45"/>
    </row>
    <row r="21" spans="2:11" ht="12.75">
      <c r="B21" s="7" t="s">
        <v>667</v>
      </c>
      <c r="E21" s="50" t="s">
        <v>55</v>
      </c>
      <c r="G21" s="6">
        <v>20000</v>
      </c>
      <c r="I21" s="45"/>
      <c r="K21" s="45"/>
    </row>
    <row r="22" spans="2:11" ht="12.75">
      <c r="B22" s="7" t="s">
        <v>637</v>
      </c>
      <c r="E22" s="50">
        <v>100000</v>
      </c>
      <c r="G22" s="6">
        <v>90000</v>
      </c>
      <c r="I22" s="45"/>
      <c r="K22" s="45"/>
    </row>
    <row r="23" spans="2:11" ht="12.75">
      <c r="B23" s="7" t="s">
        <v>3</v>
      </c>
      <c r="E23" s="50" t="s">
        <v>56</v>
      </c>
      <c r="G23" s="6">
        <v>12000</v>
      </c>
      <c r="I23" s="45"/>
      <c r="K23" s="45"/>
    </row>
    <row r="24" spans="2:11" ht="12.75">
      <c r="B24" s="7" t="s">
        <v>668</v>
      </c>
      <c r="E24" s="50" t="s">
        <v>55</v>
      </c>
      <c r="G24" s="6">
        <v>65000</v>
      </c>
      <c r="I24" s="45"/>
      <c r="K24" s="45"/>
    </row>
    <row r="25" spans="2:11" ht="12.75">
      <c r="B25" s="7" t="s">
        <v>669</v>
      </c>
      <c r="E25" s="50" t="s">
        <v>62</v>
      </c>
      <c r="G25" s="6">
        <v>50000</v>
      </c>
      <c r="I25" s="45"/>
      <c r="K25" s="45"/>
    </row>
    <row r="26" spans="2:11" ht="12.75">
      <c r="B26" s="7" t="s">
        <v>674</v>
      </c>
      <c r="E26" s="50">
        <v>25000</v>
      </c>
      <c r="G26" s="6">
        <v>35000</v>
      </c>
      <c r="I26" s="45"/>
      <c r="K26" s="45"/>
    </row>
    <row r="27" spans="2:11" ht="12.75">
      <c r="B27" s="7" t="s">
        <v>123</v>
      </c>
      <c r="E27" s="50" t="s">
        <v>78</v>
      </c>
      <c r="G27" s="6">
        <v>3500</v>
      </c>
      <c r="I27" s="45"/>
      <c r="K27" s="45"/>
    </row>
    <row r="28" spans="2:11" ht="12.75">
      <c r="B28" s="7" t="s">
        <v>375</v>
      </c>
      <c r="E28" s="50">
        <v>15000</v>
      </c>
      <c r="G28" s="6">
        <v>15000</v>
      </c>
      <c r="I28" s="45"/>
      <c r="K28" s="45"/>
    </row>
    <row r="29" spans="2:11" ht="12.75">
      <c r="B29" s="7" t="s">
        <v>59</v>
      </c>
      <c r="E29" s="50" t="s">
        <v>55</v>
      </c>
      <c r="G29" s="6">
        <v>5000</v>
      </c>
      <c r="I29" s="45"/>
      <c r="K29" s="45"/>
    </row>
    <row r="30" spans="2:11" ht="12.75">
      <c r="B30" s="7" t="s">
        <v>638</v>
      </c>
      <c r="E30" s="50">
        <v>51000</v>
      </c>
      <c r="G30" s="6">
        <v>41000</v>
      </c>
      <c r="I30" s="45"/>
      <c r="K30" s="45"/>
    </row>
    <row r="31" spans="2:11" ht="12.75">
      <c r="B31" s="7" t="s">
        <v>65</v>
      </c>
      <c r="E31" s="50" t="s">
        <v>66</v>
      </c>
      <c r="G31" s="6">
        <v>20000</v>
      </c>
      <c r="I31" s="45"/>
      <c r="K31" s="45"/>
    </row>
    <row r="32" spans="2:11" ht="12.75">
      <c r="B32" s="7" t="s">
        <v>124</v>
      </c>
      <c r="E32" s="50" t="s">
        <v>75</v>
      </c>
      <c r="G32" s="6">
        <v>5000</v>
      </c>
      <c r="I32" s="45"/>
      <c r="K32" s="45"/>
    </row>
    <row r="33" spans="2:11" ht="12.75">
      <c r="B33" s="7" t="s">
        <v>4</v>
      </c>
      <c r="E33" s="50" t="s">
        <v>56</v>
      </c>
      <c r="G33" s="6">
        <v>16000</v>
      </c>
      <c r="I33" s="45"/>
      <c r="K33" s="45"/>
    </row>
    <row r="34" spans="2:11" ht="12.75">
      <c r="B34" s="7" t="s">
        <v>63</v>
      </c>
      <c r="E34" s="50" t="s">
        <v>56</v>
      </c>
      <c r="G34" s="6">
        <v>0</v>
      </c>
      <c r="I34" s="45"/>
      <c r="K34" s="45"/>
    </row>
    <row r="35" spans="2:11" ht="12.75">
      <c r="B35" s="7" t="s">
        <v>125</v>
      </c>
      <c r="E35" s="50" t="s">
        <v>70</v>
      </c>
      <c r="G35" s="6">
        <v>28000</v>
      </c>
      <c r="I35" s="45"/>
      <c r="K35" s="45"/>
    </row>
    <row r="36" spans="2:11" ht="12.75">
      <c r="B36" s="7" t="s">
        <v>84</v>
      </c>
      <c r="E36" s="50" t="s">
        <v>62</v>
      </c>
      <c r="G36" s="6">
        <v>10000</v>
      </c>
      <c r="I36" s="45"/>
      <c r="K36" s="45"/>
    </row>
    <row r="37" spans="2:11" ht="12.75">
      <c r="B37" s="7" t="s">
        <v>69</v>
      </c>
      <c r="E37" s="50" t="s">
        <v>70</v>
      </c>
      <c r="G37" s="6">
        <v>7000</v>
      </c>
      <c r="I37" s="45"/>
      <c r="K37" s="45"/>
    </row>
    <row r="38" spans="2:11" ht="12.75">
      <c r="B38" s="7" t="s">
        <v>639</v>
      </c>
      <c r="G38" s="6">
        <v>111000</v>
      </c>
      <c r="I38" s="45"/>
      <c r="K38" s="45"/>
    </row>
    <row r="39" spans="2:11" ht="12.75">
      <c r="B39" s="7" t="s">
        <v>5</v>
      </c>
      <c r="E39" s="50" t="s">
        <v>64</v>
      </c>
      <c r="G39" s="6">
        <v>16000</v>
      </c>
      <c r="I39" s="45"/>
      <c r="K39" s="45"/>
    </row>
    <row r="40" spans="2:11" ht="12.75">
      <c r="B40" s="7" t="s">
        <v>82</v>
      </c>
      <c r="E40" s="50" t="s">
        <v>77</v>
      </c>
      <c r="G40" s="6">
        <v>9000</v>
      </c>
      <c r="I40" s="45"/>
      <c r="K40" s="45"/>
    </row>
    <row r="41" spans="2:11" ht="12.75">
      <c r="B41" s="7" t="s">
        <v>6</v>
      </c>
      <c r="E41" s="50" t="s">
        <v>77</v>
      </c>
      <c r="G41" s="6">
        <v>3000</v>
      </c>
      <c r="I41" s="45"/>
      <c r="K41" s="45"/>
    </row>
    <row r="42" spans="2:11" ht="12.75">
      <c r="B42" s="7" t="s">
        <v>57</v>
      </c>
      <c r="E42" s="50" t="s">
        <v>60</v>
      </c>
      <c r="G42" s="6">
        <v>20000</v>
      </c>
      <c r="I42" s="45"/>
      <c r="K42" s="45"/>
    </row>
    <row r="43" spans="2:11" ht="12.75">
      <c r="B43" s="7" t="s">
        <v>7</v>
      </c>
      <c r="E43" s="50" t="s">
        <v>74</v>
      </c>
      <c r="G43" s="6">
        <v>8000</v>
      </c>
      <c r="I43" s="45"/>
      <c r="K43" s="45"/>
    </row>
    <row r="44" spans="2:11" ht="12.75">
      <c r="B44" s="7" t="s">
        <v>81</v>
      </c>
      <c r="E44" s="50" t="s">
        <v>73</v>
      </c>
      <c r="G44" s="6">
        <v>32000</v>
      </c>
      <c r="I44" s="45"/>
      <c r="K44" s="45"/>
    </row>
    <row r="45" spans="2:11" ht="12.75">
      <c r="B45" s="7" t="s">
        <v>670</v>
      </c>
      <c r="E45" s="50" t="s">
        <v>61</v>
      </c>
      <c r="G45" s="6">
        <v>48000</v>
      </c>
      <c r="I45" s="45"/>
      <c r="K45" s="45"/>
    </row>
    <row r="46" spans="2:11" ht="12.75">
      <c r="B46" s="7" t="s">
        <v>67</v>
      </c>
      <c r="E46" s="50" t="s">
        <v>68</v>
      </c>
      <c r="G46" s="6">
        <v>2000</v>
      </c>
      <c r="I46" s="45"/>
      <c r="K46" s="45"/>
    </row>
    <row r="47" spans="2:11" ht="12.75">
      <c r="B47" s="7" t="s">
        <v>79</v>
      </c>
      <c r="E47" s="50" t="s">
        <v>80</v>
      </c>
      <c r="G47" s="6">
        <v>15000</v>
      </c>
      <c r="I47" s="45"/>
      <c r="K47" s="45"/>
    </row>
    <row r="48" spans="2:11" ht="12.75">
      <c r="B48" s="7" t="s">
        <v>619</v>
      </c>
      <c r="E48" s="50">
        <v>700000</v>
      </c>
      <c r="G48" s="6">
        <v>300000</v>
      </c>
      <c r="I48" s="45"/>
      <c r="K48" s="45"/>
    </row>
    <row r="49" spans="2:11" ht="12.75">
      <c r="B49" s="7" t="s">
        <v>671</v>
      </c>
      <c r="E49" s="50">
        <v>40000</v>
      </c>
      <c r="G49" s="6">
        <v>42000</v>
      </c>
      <c r="I49" s="45"/>
      <c r="K49" s="45"/>
    </row>
    <row r="50" spans="2:11" ht="12.75">
      <c r="B50" s="7" t="s">
        <v>87</v>
      </c>
      <c r="E50" s="50" t="s">
        <v>78</v>
      </c>
      <c r="G50" s="6">
        <v>7000</v>
      </c>
      <c r="I50" s="45"/>
      <c r="K50" s="45"/>
    </row>
    <row r="51" spans="2:11" ht="12.75">
      <c r="B51" s="7" t="s">
        <v>71</v>
      </c>
      <c r="E51" s="50" t="s">
        <v>72</v>
      </c>
      <c r="G51" s="6">
        <v>0</v>
      </c>
      <c r="I51" s="45"/>
      <c r="K51" s="45"/>
    </row>
    <row r="52" spans="2:11" ht="12.75">
      <c r="B52" s="7" t="s">
        <v>622</v>
      </c>
      <c r="E52" s="50" t="s">
        <v>61</v>
      </c>
      <c r="G52" s="6">
        <v>85000</v>
      </c>
      <c r="I52" s="45"/>
      <c r="K52" s="45"/>
    </row>
    <row r="53" spans="2:11" ht="12.75">
      <c r="B53" s="7" t="s">
        <v>86</v>
      </c>
      <c r="E53" s="50" t="s">
        <v>77</v>
      </c>
      <c r="G53" s="6">
        <v>6000</v>
      </c>
      <c r="I53" s="45"/>
      <c r="K53" s="45"/>
    </row>
    <row r="54" spans="2:11" ht="12.75">
      <c r="B54" s="7" t="s">
        <v>208</v>
      </c>
      <c r="E54" s="50" t="s">
        <v>73</v>
      </c>
      <c r="G54" s="6">
        <v>24000</v>
      </c>
      <c r="I54" s="45"/>
      <c r="K54" s="45"/>
    </row>
    <row r="55" spans="2:11" ht="12.75">
      <c r="B55" s="7" t="s">
        <v>126</v>
      </c>
      <c r="G55" s="6">
        <v>24000</v>
      </c>
      <c r="I55" s="45"/>
      <c r="K55" s="45"/>
    </row>
    <row r="56" spans="2:11" ht="12.75">
      <c r="B56" s="7" t="s">
        <v>8</v>
      </c>
      <c r="E56" s="50" t="s">
        <v>73</v>
      </c>
      <c r="G56" s="6">
        <v>8000</v>
      </c>
      <c r="I56" s="45"/>
      <c r="K56" s="45"/>
    </row>
    <row r="57" spans="2:11" ht="12.75">
      <c r="B57" s="7" t="s">
        <v>672</v>
      </c>
      <c r="G57" s="6">
        <v>4000</v>
      </c>
      <c r="I57" s="45"/>
      <c r="K57" s="45"/>
    </row>
    <row r="58" spans="2:11" ht="12.75">
      <c r="B58" s="7" t="s">
        <v>673</v>
      </c>
      <c r="E58" s="50" t="s">
        <v>55</v>
      </c>
      <c r="G58" s="6">
        <v>100000</v>
      </c>
      <c r="I58" s="45"/>
      <c r="K58" s="45"/>
    </row>
    <row r="59" spans="2:11" ht="12.75">
      <c r="B59" s="7" t="s">
        <v>58</v>
      </c>
      <c r="E59" s="50">
        <v>15000</v>
      </c>
      <c r="I59" s="45"/>
      <c r="K59" s="45"/>
    </row>
    <row r="60" spans="9:11" ht="12.75">
      <c r="I60" s="45"/>
      <c r="K60" s="45"/>
    </row>
    <row r="61" spans="2:12" ht="17.25" thickBot="1">
      <c r="B61" s="170" t="s">
        <v>583</v>
      </c>
      <c r="C61" s="172">
        <v>3500000</v>
      </c>
      <c r="D61" s="46"/>
      <c r="E61" s="182"/>
      <c r="F61" s="46"/>
      <c r="G61" s="172">
        <f>SUM(G6:G60)</f>
        <v>10334500</v>
      </c>
      <c r="I61" s="33"/>
      <c r="K61" s="33">
        <f>SUM(K5:K60)</f>
        <v>0</v>
      </c>
      <c r="L61" s="45"/>
    </row>
    <row r="62" spans="1:4" ht="13.5" thickTop="1">
      <c r="A62" s="44"/>
      <c r="D62" s="6" t="s">
        <v>174</v>
      </c>
    </row>
    <row r="63" spans="1:11" ht="12.75">
      <c r="A63" s="7">
        <v>2</v>
      </c>
      <c r="B63" s="183" t="s">
        <v>466</v>
      </c>
      <c r="C63" s="8">
        <v>4000000</v>
      </c>
      <c r="D63" s="8"/>
      <c r="E63" s="184"/>
      <c r="F63" s="8"/>
      <c r="G63" s="31"/>
      <c r="I63" s="8"/>
      <c r="K63" s="31"/>
    </row>
    <row r="64" spans="2:7" ht="12.75">
      <c r="B64" s="7" t="s">
        <v>521</v>
      </c>
      <c r="C64" s="33"/>
      <c r="G64" s="6">
        <v>63000</v>
      </c>
    </row>
    <row r="65" spans="2:7" ht="12.75">
      <c r="B65" s="7" t="s">
        <v>642</v>
      </c>
      <c r="C65" s="33"/>
      <c r="G65" s="6">
        <v>200000</v>
      </c>
    </row>
    <row r="66" spans="2:7" ht="12.75">
      <c r="B66" s="7" t="s">
        <v>22</v>
      </c>
      <c r="C66" s="33"/>
      <c r="E66" s="50">
        <v>125000</v>
      </c>
      <c r="G66" s="6">
        <v>125000</v>
      </c>
    </row>
    <row r="67" spans="2:7" ht="13.5" thickBot="1">
      <c r="B67" s="7" t="s">
        <v>643</v>
      </c>
      <c r="C67" s="33"/>
      <c r="D67" s="173"/>
      <c r="G67" s="6">
        <f>876600-75000-75000-125000</f>
        <v>601600</v>
      </c>
    </row>
    <row r="68" spans="2:7" ht="13.5" thickTop="1">
      <c r="B68" s="7" t="s">
        <v>644</v>
      </c>
      <c r="C68" s="33"/>
      <c r="G68" s="6">
        <v>78500</v>
      </c>
    </row>
    <row r="69" spans="2:7" ht="12.75">
      <c r="B69" s="7" t="s">
        <v>645</v>
      </c>
      <c r="C69" s="33"/>
      <c r="G69" s="6">
        <v>230834</v>
      </c>
    </row>
    <row r="70" spans="2:7" ht="12.75">
      <c r="B70" s="7" t="s">
        <v>640</v>
      </c>
      <c r="G70" s="6">
        <v>75000</v>
      </c>
    </row>
    <row r="71" spans="2:7" ht="12.75">
      <c r="B71" s="7" t="s">
        <v>641</v>
      </c>
      <c r="C71" s="33"/>
      <c r="G71" s="6">
        <v>75000</v>
      </c>
    </row>
    <row r="72" ht="12.75">
      <c r="C72" s="33"/>
    </row>
    <row r="73" spans="2:11" ht="17.25" thickBot="1">
      <c r="B73" s="170" t="s">
        <v>582</v>
      </c>
      <c r="C73" s="172">
        <f>SUM(C63:C71)</f>
        <v>4000000</v>
      </c>
      <c r="D73" s="48"/>
      <c r="E73" s="182"/>
      <c r="F73" s="48"/>
      <c r="G73" s="172">
        <f>SUM(G64:G71)</f>
        <v>1448934</v>
      </c>
      <c r="K73" s="49">
        <f>C73-G73</f>
        <v>2551066</v>
      </c>
    </row>
    <row r="74" spans="2:11" ht="13.5" thickTop="1">
      <c r="B74" s="5"/>
      <c r="C74" s="33"/>
      <c r="G74" s="33"/>
      <c r="K74" s="49"/>
    </row>
    <row r="75" spans="2:4" ht="12.75">
      <c r="B75" s="44" t="s">
        <v>467</v>
      </c>
      <c r="D75" s="6" t="s">
        <v>174</v>
      </c>
    </row>
    <row r="76" spans="2:11" ht="16.5">
      <c r="B76" s="7" t="s">
        <v>522</v>
      </c>
      <c r="C76" s="33">
        <v>1000000</v>
      </c>
      <c r="D76" s="33"/>
      <c r="E76" s="184"/>
      <c r="F76" s="33"/>
      <c r="G76" s="46">
        <v>50000</v>
      </c>
      <c r="I76" s="45"/>
      <c r="K76" s="45"/>
    </row>
    <row r="77" spans="2:11" ht="12.75">
      <c r="B77" s="5"/>
      <c r="C77" s="33"/>
      <c r="G77" s="33"/>
      <c r="I77" s="45"/>
      <c r="K77" s="45"/>
    </row>
    <row r="78" spans="2:3" ht="12.75">
      <c r="B78" s="44" t="s">
        <v>479</v>
      </c>
      <c r="C78" s="33">
        <v>400000</v>
      </c>
    </row>
    <row r="79" spans="2:11" ht="12.75">
      <c r="B79" s="7" t="s">
        <v>675</v>
      </c>
      <c r="E79" s="50">
        <v>400000</v>
      </c>
      <c r="G79" s="6">
        <v>320000</v>
      </c>
      <c r="I79" s="45"/>
      <c r="K79" s="45"/>
    </row>
    <row r="80" spans="9:11" ht="12.75">
      <c r="I80" s="45"/>
      <c r="K80" s="45"/>
    </row>
    <row r="81" spans="3:11" ht="16.5">
      <c r="C81" s="46">
        <f>SUM(C78:C79)</f>
        <v>400000</v>
      </c>
      <c r="D81" s="33"/>
      <c r="E81" s="184"/>
      <c r="F81" s="33"/>
      <c r="G81" s="46">
        <f>SUM(G79:G79)</f>
        <v>320000</v>
      </c>
      <c r="I81" s="33"/>
      <c r="K81" s="49"/>
    </row>
    <row r="82" ht="12.75">
      <c r="B82" s="44" t="s">
        <v>468</v>
      </c>
    </row>
    <row r="83" spans="2:9" ht="12.75">
      <c r="B83" s="5" t="s">
        <v>506</v>
      </c>
      <c r="C83" s="6">
        <v>1460000</v>
      </c>
      <c r="I83" s="45"/>
    </row>
    <row r="84" spans="2:9" ht="12.75">
      <c r="B84" s="7" t="s">
        <v>523</v>
      </c>
      <c r="G84" s="6">
        <v>6000</v>
      </c>
      <c r="I84" s="45"/>
    </row>
    <row r="85" spans="2:9" ht="12.75">
      <c r="B85" s="7" t="s">
        <v>524</v>
      </c>
      <c r="G85" s="6">
        <v>10000</v>
      </c>
      <c r="I85" s="45"/>
    </row>
    <row r="86" spans="2:9" ht="12.75">
      <c r="B86" s="7" t="s">
        <v>676</v>
      </c>
      <c r="G86" s="6">
        <v>72000</v>
      </c>
      <c r="I86" s="33"/>
    </row>
    <row r="87" spans="2:9" ht="12.75">
      <c r="B87" s="7" t="s">
        <v>39</v>
      </c>
      <c r="G87" s="6">
        <v>26000</v>
      </c>
      <c r="I87" s="33"/>
    </row>
    <row r="88" spans="2:9" ht="12.75">
      <c r="B88" s="7" t="s">
        <v>648</v>
      </c>
      <c r="C88" s="33"/>
      <c r="G88" s="6">
        <v>29500</v>
      </c>
      <c r="I88" s="33"/>
    </row>
    <row r="89" spans="2:9" ht="12.75">
      <c r="B89" s="7" t="s">
        <v>677</v>
      </c>
      <c r="C89" s="33"/>
      <c r="G89" s="6">
        <v>64000</v>
      </c>
      <c r="I89" s="33"/>
    </row>
    <row r="90" spans="2:9" ht="12.75">
      <c r="B90" s="7" t="s">
        <v>678</v>
      </c>
      <c r="C90" s="33"/>
      <c r="G90" s="6">
        <v>38000</v>
      </c>
      <c r="I90" s="33"/>
    </row>
    <row r="91" spans="2:9" ht="12.75">
      <c r="B91" s="7" t="s">
        <v>679</v>
      </c>
      <c r="C91" s="33"/>
      <c r="G91" s="6">
        <v>83200</v>
      </c>
      <c r="I91" s="33"/>
    </row>
    <row r="92" spans="2:9" ht="12.75">
      <c r="B92" s="7" t="s">
        <v>526</v>
      </c>
      <c r="C92" s="33"/>
      <c r="G92" s="6">
        <v>10000</v>
      </c>
      <c r="I92" s="33"/>
    </row>
    <row r="93" spans="2:9" ht="12.75">
      <c r="B93" s="7" t="s">
        <v>525</v>
      </c>
      <c r="C93" s="33"/>
      <c r="G93" s="6">
        <v>93000</v>
      </c>
      <c r="I93" s="33"/>
    </row>
    <row r="94" spans="2:9" ht="12.75">
      <c r="B94" s="7" t="s">
        <v>527</v>
      </c>
      <c r="C94" s="33"/>
      <c r="G94" s="6">
        <v>12000</v>
      </c>
      <c r="I94" s="33"/>
    </row>
    <row r="95" spans="2:9" ht="12.75">
      <c r="B95" s="7" t="s">
        <v>680</v>
      </c>
      <c r="C95" s="33"/>
      <c r="G95" s="6">
        <v>76000</v>
      </c>
      <c r="I95" s="33"/>
    </row>
    <row r="96" spans="2:9" ht="12.75">
      <c r="B96" s="7" t="s">
        <v>528</v>
      </c>
      <c r="C96" s="33"/>
      <c r="G96" s="6">
        <v>21600</v>
      </c>
      <c r="I96" s="33"/>
    </row>
    <row r="97" spans="2:9" ht="12.75">
      <c r="B97" s="7" t="s">
        <v>166</v>
      </c>
      <c r="C97" s="33"/>
      <c r="G97" s="6">
        <f>4000+800+15000+17500+22500+5600</f>
        <v>65400</v>
      </c>
      <c r="I97" s="33"/>
    </row>
    <row r="98" spans="3:9" ht="12.75">
      <c r="C98" s="33"/>
      <c r="I98" s="33"/>
    </row>
    <row r="99" spans="3:12" ht="16.5">
      <c r="C99" s="46">
        <f>SUM(C83:C96)</f>
        <v>1460000</v>
      </c>
      <c r="E99" s="184"/>
      <c r="G99" s="46">
        <f>SUM(G83:G98)</f>
        <v>606700</v>
      </c>
      <c r="I99" s="33"/>
      <c r="K99" s="45"/>
      <c r="L99" s="45"/>
    </row>
    <row r="100" spans="3:12" ht="12.75">
      <c r="C100" s="33"/>
      <c r="E100" s="184"/>
      <c r="G100" s="33"/>
      <c r="I100" s="33"/>
      <c r="K100" s="45"/>
      <c r="L100" s="45"/>
    </row>
    <row r="101" spans="2:3" ht="12.75">
      <c r="B101" s="44" t="s">
        <v>469</v>
      </c>
      <c r="C101" s="33">
        <v>150000</v>
      </c>
    </row>
    <row r="102" spans="2:7" ht="12.75">
      <c r="B102" s="7" t="s">
        <v>529</v>
      </c>
      <c r="C102" s="33"/>
      <c r="G102" s="6">
        <v>12000</v>
      </c>
    </row>
    <row r="103" spans="2:7" ht="12.75">
      <c r="B103" s="7" t="s">
        <v>21</v>
      </c>
      <c r="C103" s="33"/>
      <c r="E103" s="50">
        <v>100000</v>
      </c>
      <c r="G103" s="6">
        <v>100000</v>
      </c>
    </row>
    <row r="104" spans="2:7" ht="12.75">
      <c r="B104" s="7" t="s">
        <v>530</v>
      </c>
      <c r="C104" s="33"/>
      <c r="G104" s="6">
        <v>12000</v>
      </c>
    </row>
    <row r="105" spans="2:7" ht="12.75">
      <c r="B105" s="7" t="s">
        <v>531</v>
      </c>
      <c r="C105" s="33"/>
      <c r="G105" s="6">
        <v>12000</v>
      </c>
    </row>
    <row r="106" spans="2:11" ht="12.75">
      <c r="B106" s="7" t="s">
        <v>681</v>
      </c>
      <c r="C106" s="8"/>
      <c r="D106" s="8"/>
      <c r="E106" s="184"/>
      <c r="F106" s="8"/>
      <c r="G106" s="50">
        <v>1200000</v>
      </c>
      <c r="I106" s="8"/>
      <c r="K106" s="31"/>
    </row>
    <row r="107" spans="2:11" ht="12.75">
      <c r="B107" s="7" t="s">
        <v>682</v>
      </c>
      <c r="G107" s="50">
        <v>177500</v>
      </c>
      <c r="I107" s="45"/>
      <c r="K107" s="45"/>
    </row>
    <row r="108" spans="3:11" ht="12.75">
      <c r="C108" s="33"/>
      <c r="D108" s="5"/>
      <c r="F108" s="5"/>
      <c r="I108" s="45"/>
      <c r="K108" s="45"/>
    </row>
    <row r="109" spans="3:11" ht="16.5">
      <c r="C109" s="46">
        <f>SUM(C101:C108)</f>
        <v>150000</v>
      </c>
      <c r="D109" s="5"/>
      <c r="E109" s="184"/>
      <c r="F109" s="5"/>
      <c r="G109" s="46">
        <f>SUM(G101:G108)</f>
        <v>1513500</v>
      </c>
      <c r="I109" s="33"/>
      <c r="K109" s="33"/>
    </row>
    <row r="110" spans="3:11" ht="12.75">
      <c r="C110" s="33"/>
      <c r="D110" s="5"/>
      <c r="E110" s="184"/>
      <c r="F110" s="5"/>
      <c r="G110" s="33"/>
      <c r="I110" s="33"/>
      <c r="K110" s="33"/>
    </row>
    <row r="111" spans="2:9" ht="16.5">
      <c r="B111" s="44" t="s">
        <v>348</v>
      </c>
      <c r="C111" s="46">
        <v>225000</v>
      </c>
      <c r="G111" s="46">
        <v>109000</v>
      </c>
      <c r="I111" s="45"/>
    </row>
    <row r="112" spans="3:6" ht="12.75">
      <c r="C112" s="33"/>
      <c r="D112" s="5"/>
      <c r="E112" s="184"/>
      <c r="F112" s="5"/>
    </row>
    <row r="113" spans="2:3" ht="12.75">
      <c r="B113" s="44" t="s">
        <v>470</v>
      </c>
      <c r="C113" s="6">
        <v>1124000</v>
      </c>
    </row>
    <row r="114" spans="2:11" ht="12.75">
      <c r="B114" s="7" t="s">
        <v>683</v>
      </c>
      <c r="E114" s="50" t="s">
        <v>10</v>
      </c>
      <c r="G114" s="6">
        <v>197000</v>
      </c>
      <c r="I114" s="45"/>
      <c r="K114" s="45"/>
    </row>
    <row r="115" spans="2:11" ht="12.75">
      <c r="B115" s="7" t="s">
        <v>684</v>
      </c>
      <c r="E115" s="50">
        <v>300000</v>
      </c>
      <c r="G115" s="6">
        <v>300000</v>
      </c>
      <c r="I115" s="45"/>
      <c r="K115" s="45"/>
    </row>
    <row r="116" spans="2:11" ht="12.75">
      <c r="B116" s="7" t="s">
        <v>685</v>
      </c>
      <c r="E116" s="50">
        <v>25000</v>
      </c>
      <c r="G116" s="6">
        <v>25000</v>
      </c>
      <c r="I116" s="45"/>
      <c r="K116" s="45"/>
    </row>
    <row r="117" spans="2:11" ht="12.75">
      <c r="B117" s="7" t="s">
        <v>686</v>
      </c>
      <c r="E117" s="50" t="s">
        <v>11</v>
      </c>
      <c r="G117" s="6">
        <v>400000</v>
      </c>
      <c r="I117" s="45"/>
      <c r="K117" s="45"/>
    </row>
    <row r="118" spans="2:11" ht="12.75">
      <c r="B118" s="7" t="s">
        <v>687</v>
      </c>
      <c r="E118" s="50" t="s">
        <v>13</v>
      </c>
      <c r="G118" s="6">
        <v>140000</v>
      </c>
      <c r="I118" s="45"/>
      <c r="K118" s="45"/>
    </row>
    <row r="119" spans="2:11" ht="12.75">
      <c r="B119" s="7" t="s">
        <v>688</v>
      </c>
      <c r="E119" s="50" t="s">
        <v>12</v>
      </c>
      <c r="G119" s="6">
        <v>22500</v>
      </c>
      <c r="I119" s="45"/>
      <c r="K119" s="45"/>
    </row>
    <row r="120" spans="9:11" ht="12.75">
      <c r="I120" s="45"/>
      <c r="K120" s="45"/>
    </row>
    <row r="121" spans="3:11" ht="16.5">
      <c r="C121" s="46">
        <f>SUM(C113:C120)</f>
        <v>1124000</v>
      </c>
      <c r="G121" s="46">
        <f>SUM(G114:G120)</f>
        <v>1084500</v>
      </c>
      <c r="I121" s="33"/>
      <c r="K121" s="33"/>
    </row>
    <row r="122" spans="2:11" ht="12.75">
      <c r="B122" s="44" t="s">
        <v>471</v>
      </c>
      <c r="C122" s="33"/>
      <c r="G122" s="33"/>
      <c r="I122" s="33"/>
      <c r="K122" s="33"/>
    </row>
    <row r="123" spans="2:11" ht="12.75">
      <c r="B123" s="7" t="s">
        <v>532</v>
      </c>
      <c r="E123" s="50">
        <v>40000</v>
      </c>
      <c r="G123" s="6">
        <v>20000</v>
      </c>
      <c r="I123" s="33"/>
      <c r="K123" s="33"/>
    </row>
    <row r="124" spans="2:11" ht="12.75">
      <c r="B124" s="7" t="s">
        <v>533</v>
      </c>
      <c r="G124" s="6">
        <v>1500</v>
      </c>
      <c r="I124" s="33"/>
      <c r="K124" s="33"/>
    </row>
    <row r="125" spans="2:11" ht="12.75">
      <c r="B125" s="7" t="s">
        <v>18</v>
      </c>
      <c r="C125" s="7"/>
      <c r="D125" s="7"/>
      <c r="E125" s="50">
        <v>50000</v>
      </c>
      <c r="F125" s="7"/>
      <c r="G125" s="6">
        <v>31000</v>
      </c>
      <c r="I125" s="45"/>
      <c r="K125" s="45"/>
    </row>
    <row r="126" spans="2:11" ht="12.75">
      <c r="B126" s="7" t="s">
        <v>19</v>
      </c>
      <c r="E126" s="50">
        <v>65000</v>
      </c>
      <c r="G126" s="6">
        <v>38000</v>
      </c>
      <c r="I126" s="45"/>
      <c r="K126" s="45"/>
    </row>
    <row r="127" spans="9:11" ht="12.75">
      <c r="I127" s="45"/>
      <c r="K127" s="45"/>
    </row>
    <row r="128" spans="3:11" ht="16.5">
      <c r="C128" s="33"/>
      <c r="E128" s="184"/>
      <c r="G128" s="46">
        <f>SUM(G122:G127)</f>
        <v>90500</v>
      </c>
      <c r="I128" s="33"/>
      <c r="K128" s="33"/>
    </row>
    <row r="129" ht="12.75">
      <c r="C129" s="33"/>
    </row>
    <row r="130" ht="12.75">
      <c r="B130" s="44" t="s">
        <v>472</v>
      </c>
    </row>
    <row r="131" spans="2:5" ht="12.75">
      <c r="B131" s="7" t="s">
        <v>15</v>
      </c>
      <c r="E131" s="50">
        <v>200000</v>
      </c>
    </row>
    <row r="132" spans="2:7" ht="12.75">
      <c r="B132" s="7" t="s">
        <v>9</v>
      </c>
      <c r="E132" s="50">
        <v>400000</v>
      </c>
      <c r="G132" s="6">
        <v>240000</v>
      </c>
    </row>
    <row r="133" spans="2:9" ht="12.75" hidden="1">
      <c r="B133" s="7" t="s">
        <v>179</v>
      </c>
      <c r="C133" s="33"/>
      <c r="I133" s="45"/>
    </row>
    <row r="134" spans="2:9" ht="12.75" hidden="1">
      <c r="B134" s="7" t="s">
        <v>178</v>
      </c>
      <c r="I134" s="45"/>
    </row>
    <row r="135" spans="2:9" ht="12.75" hidden="1">
      <c r="B135" s="7" t="s">
        <v>180</v>
      </c>
      <c r="C135" s="33"/>
      <c r="I135" s="45"/>
    </row>
    <row r="136" spans="2:9" ht="12.75">
      <c r="B136" s="7" t="s">
        <v>25</v>
      </c>
      <c r="C136" s="33"/>
      <c r="E136" s="50">
        <v>200000</v>
      </c>
      <c r="G136" s="6">
        <v>175000</v>
      </c>
      <c r="I136" s="45"/>
    </row>
    <row r="137" spans="2:7" ht="12.75">
      <c r="B137" s="7" t="s">
        <v>26</v>
      </c>
      <c r="E137" s="50">
        <v>150000</v>
      </c>
      <c r="G137" s="6">
        <v>90000</v>
      </c>
    </row>
    <row r="139" spans="3:11" ht="16.5">
      <c r="C139" s="33"/>
      <c r="D139" s="33"/>
      <c r="E139" s="184"/>
      <c r="F139" s="33"/>
      <c r="G139" s="46">
        <f>SUM(G132:G137)</f>
        <v>505000</v>
      </c>
      <c r="H139" s="5"/>
      <c r="I139" s="33"/>
      <c r="K139" s="49"/>
    </row>
    <row r="141" spans="2:9" ht="12.75">
      <c r="B141" s="44" t="s">
        <v>473</v>
      </c>
      <c r="C141" s="6">
        <v>885000</v>
      </c>
      <c r="D141" s="5"/>
      <c r="E141" s="164"/>
      <c r="F141" s="5"/>
      <c r="I141" s="45"/>
    </row>
    <row r="142" spans="2:11" ht="12.75">
      <c r="B142" s="3" t="s">
        <v>689</v>
      </c>
      <c r="G142" s="6">
        <v>45000</v>
      </c>
      <c r="I142" s="45"/>
      <c r="K142" s="45"/>
    </row>
    <row r="143" spans="2:11" ht="12.75">
      <c r="B143" s="3" t="s">
        <v>690</v>
      </c>
      <c r="G143" s="6">
        <v>24500</v>
      </c>
      <c r="I143" s="45"/>
      <c r="K143" s="45"/>
    </row>
    <row r="144" spans="2:11" ht="12.75">
      <c r="B144" s="3" t="s">
        <v>691</v>
      </c>
      <c r="G144" s="6">
        <v>235825</v>
      </c>
      <c r="I144" s="45"/>
      <c r="K144" s="45"/>
    </row>
    <row r="145" spans="2:11" ht="12.75">
      <c r="B145" s="3" t="s">
        <v>692</v>
      </c>
      <c r="G145" s="6">
        <v>120000</v>
      </c>
      <c r="I145" s="45"/>
      <c r="K145" s="45"/>
    </row>
    <row r="146" spans="2:11" ht="12.75">
      <c r="B146" s="3" t="s">
        <v>693</v>
      </c>
      <c r="G146" s="6">
        <v>12847</v>
      </c>
      <c r="I146" s="45"/>
      <c r="K146" s="45"/>
    </row>
    <row r="147" spans="2:11" ht="12.75">
      <c r="B147" s="3" t="s">
        <v>113</v>
      </c>
      <c r="E147" s="50">
        <v>90000</v>
      </c>
      <c r="G147" s="6">
        <v>66000</v>
      </c>
      <c r="I147" s="45"/>
      <c r="K147" s="45"/>
    </row>
    <row r="148" spans="2:11" ht="12.75">
      <c r="B148" s="3" t="s">
        <v>694</v>
      </c>
      <c r="G148" s="6">
        <v>15000</v>
      </c>
      <c r="I148" s="45"/>
      <c r="K148" s="45"/>
    </row>
    <row r="149" spans="2:11" ht="12.75">
      <c r="B149" s="3" t="s">
        <v>654</v>
      </c>
      <c r="E149" s="50">
        <v>125000</v>
      </c>
      <c r="G149" s="6">
        <v>90000</v>
      </c>
      <c r="I149" s="45"/>
      <c r="K149" s="45"/>
    </row>
    <row r="150" spans="2:11" ht="12.75">
      <c r="B150" s="3" t="s">
        <v>349</v>
      </c>
      <c r="G150" s="6">
        <f>3000+1300+14000</f>
        <v>18300</v>
      </c>
      <c r="I150" s="45"/>
      <c r="K150" s="45"/>
    </row>
    <row r="151" spans="2:11" ht="12.75">
      <c r="B151" s="3"/>
      <c r="I151" s="45"/>
      <c r="K151" s="45"/>
    </row>
    <row r="152" spans="2:11" ht="16.5">
      <c r="B152" s="3"/>
      <c r="C152" s="46">
        <f>SUM(C141:C150)</f>
        <v>885000</v>
      </c>
      <c r="E152" s="184"/>
      <c r="G152" s="46">
        <f>SUM(G142:G150)</f>
        <v>627472</v>
      </c>
      <c r="I152" s="33"/>
      <c r="K152" s="33"/>
    </row>
    <row r="153" spans="2:11" ht="12.75">
      <c r="B153" s="3"/>
      <c r="C153" s="33"/>
      <c r="E153" s="184"/>
      <c r="G153" s="33"/>
      <c r="I153" s="33"/>
      <c r="K153" s="33"/>
    </row>
    <row r="154" spans="2:3" ht="12.75">
      <c r="B154" s="185" t="s">
        <v>474</v>
      </c>
      <c r="C154" s="33"/>
    </row>
    <row r="155" spans="2:9" ht="12.75">
      <c r="B155" s="7" t="s">
        <v>646</v>
      </c>
      <c r="C155" s="6">
        <v>700000</v>
      </c>
      <c r="E155" s="50">
        <v>300000</v>
      </c>
      <c r="G155" s="6">
        <v>0</v>
      </c>
      <c r="I155" s="45"/>
    </row>
    <row r="156" spans="2:9" ht="12.75">
      <c r="B156" s="7" t="s">
        <v>83</v>
      </c>
      <c r="E156" s="50">
        <v>500000</v>
      </c>
      <c r="I156" s="45"/>
    </row>
    <row r="157" ht="12.75">
      <c r="I157" s="45"/>
    </row>
    <row r="158" spans="3:11" ht="16.5">
      <c r="C158" s="46">
        <f>SUM(C155:C155)</f>
        <v>700000</v>
      </c>
      <c r="E158" s="184"/>
      <c r="G158" s="46">
        <f>SUM(G155:G156)</f>
        <v>0</v>
      </c>
      <c r="I158" s="33"/>
      <c r="K158" s="49"/>
    </row>
    <row r="159" ht="12.75">
      <c r="B159" s="7" t="s">
        <v>174</v>
      </c>
    </row>
    <row r="160" ht="12.75">
      <c r="B160" s="44" t="s">
        <v>475</v>
      </c>
    </row>
    <row r="161" spans="2:11" ht="12.75">
      <c r="B161" s="7" t="s">
        <v>14</v>
      </c>
      <c r="C161" s="6">
        <v>85000</v>
      </c>
      <c r="E161" s="50">
        <v>85000</v>
      </c>
      <c r="G161" s="6">
        <v>60000</v>
      </c>
      <c r="I161" s="45"/>
      <c r="K161" s="45"/>
    </row>
    <row r="162" spans="2:11" ht="12.75">
      <c r="B162" s="7" t="s">
        <v>710</v>
      </c>
      <c r="C162" s="6">
        <v>300000</v>
      </c>
      <c r="G162" s="6">
        <v>0</v>
      </c>
      <c r="I162" s="45"/>
      <c r="K162" s="45"/>
    </row>
    <row r="163" spans="2:11" ht="12.75">
      <c r="B163" s="7" t="s">
        <v>376</v>
      </c>
      <c r="C163" s="6">
        <v>65000</v>
      </c>
      <c r="D163" s="7"/>
      <c r="E163" s="50">
        <v>65000</v>
      </c>
      <c r="F163" s="7"/>
      <c r="G163" s="6">
        <v>48000</v>
      </c>
      <c r="I163" s="45"/>
      <c r="K163" s="45"/>
    </row>
    <row r="164" spans="2:11" ht="12.75">
      <c r="B164" s="7" t="s">
        <v>476</v>
      </c>
      <c r="D164" s="7"/>
      <c r="F164" s="7"/>
      <c r="G164" s="6">
        <v>150000</v>
      </c>
      <c r="I164" s="45"/>
      <c r="K164" s="45"/>
    </row>
    <row r="165" spans="4:11" ht="12.75">
      <c r="D165" s="7"/>
      <c r="F165" s="7"/>
      <c r="I165" s="45"/>
      <c r="K165" s="45"/>
    </row>
    <row r="166" spans="3:11" ht="16.5">
      <c r="C166" s="46">
        <f>SUM(C161:C163)</f>
        <v>450000</v>
      </c>
      <c r="D166" s="33"/>
      <c r="E166" s="184"/>
      <c r="F166" s="33"/>
      <c r="G166" s="46">
        <f>SUM(G161:G164)</f>
        <v>258000</v>
      </c>
      <c r="I166" s="33"/>
      <c r="K166" s="33"/>
    </row>
    <row r="168" ht="12.75">
      <c r="B168" s="44" t="s">
        <v>477</v>
      </c>
    </row>
    <row r="169" spans="2:7" ht="16.5">
      <c r="B169" s="5" t="s">
        <v>377</v>
      </c>
      <c r="C169" s="46">
        <v>0</v>
      </c>
      <c r="E169" s="50">
        <v>340000</v>
      </c>
      <c r="G169" s="46">
        <v>286000</v>
      </c>
    </row>
    <row r="170" spans="2:3" ht="12.75">
      <c r="B170" s="5"/>
      <c r="C170" s="33"/>
    </row>
    <row r="171" spans="2:3" ht="12.75">
      <c r="B171" s="44" t="s">
        <v>478</v>
      </c>
      <c r="C171" s="33"/>
    </row>
    <row r="172" spans="2:11" ht="12.75">
      <c r="B172" s="7" t="s">
        <v>16</v>
      </c>
      <c r="C172" s="6">
        <v>500000</v>
      </c>
      <c r="E172" s="50">
        <v>450000</v>
      </c>
      <c r="G172" s="6">
        <v>300000</v>
      </c>
      <c r="I172" s="45"/>
      <c r="K172" s="45"/>
    </row>
    <row r="173" spans="2:11" ht="12.75">
      <c r="B173" s="7" t="s">
        <v>17</v>
      </c>
      <c r="E173" s="50">
        <v>100000</v>
      </c>
      <c r="G173" s="6">
        <v>100000</v>
      </c>
      <c r="I173" s="45"/>
      <c r="K173" s="45"/>
    </row>
    <row r="174" spans="9:11" ht="12.75">
      <c r="I174" s="45"/>
      <c r="K174" s="45"/>
    </row>
    <row r="175" spans="3:11" ht="16.5">
      <c r="C175" s="46">
        <f>SUM(C172:C174)</f>
        <v>500000</v>
      </c>
      <c r="G175" s="46">
        <f>SUM(G172:G174)</f>
        <v>400000</v>
      </c>
      <c r="I175" s="45"/>
      <c r="K175" s="45"/>
    </row>
    <row r="176" spans="9:11" ht="12.75">
      <c r="I176" s="45"/>
      <c r="K176" s="45"/>
    </row>
    <row r="177" spans="2:3" ht="12.75">
      <c r="B177" s="44" t="s">
        <v>480</v>
      </c>
      <c r="C177" s="33">
        <v>200000</v>
      </c>
    </row>
    <row r="178" spans="2:7" ht="12.75">
      <c r="B178" s="7" t="s">
        <v>20</v>
      </c>
      <c r="C178" s="33"/>
      <c r="E178" s="50">
        <v>81000</v>
      </c>
      <c r="G178" s="6">
        <v>50000</v>
      </c>
    </row>
    <row r="179" spans="2:7" ht="12.75">
      <c r="B179" s="7" t="s">
        <v>695</v>
      </c>
      <c r="C179" s="33"/>
      <c r="G179" s="6">
        <v>70510</v>
      </c>
    </row>
    <row r="180" spans="2:7" ht="12.75">
      <c r="B180" s="7" t="s">
        <v>696</v>
      </c>
      <c r="C180" s="33"/>
      <c r="E180" s="50">
        <v>30000</v>
      </c>
      <c r="G180" s="6">
        <v>30000</v>
      </c>
    </row>
    <row r="181" spans="2:7" ht="12.75">
      <c r="B181" s="7" t="s">
        <v>697</v>
      </c>
      <c r="C181" s="33"/>
      <c r="G181" s="6">
        <v>350000</v>
      </c>
    </row>
    <row r="182" ht="12.75">
      <c r="C182" s="33"/>
    </row>
    <row r="183" spans="2:7" ht="16.5">
      <c r="B183" s="5"/>
      <c r="C183" s="46">
        <f>SUM(C177:C181)</f>
        <v>200000</v>
      </c>
      <c r="G183" s="46">
        <f>SUM(G177:G181)</f>
        <v>500510</v>
      </c>
    </row>
    <row r="184" spans="2:7" ht="12.75">
      <c r="B184" s="5"/>
      <c r="C184" s="33"/>
      <c r="G184" s="33"/>
    </row>
    <row r="185" spans="2:11" ht="17.25" thickBot="1">
      <c r="B185" s="170" t="s">
        <v>588</v>
      </c>
      <c r="C185" s="172">
        <f>C183+C175+C169+C166+C158+C152+C139+C128+C121+C111+C109+C99+C81+C76</f>
        <v>7094000</v>
      </c>
      <c r="D185" s="46"/>
      <c r="E185" s="182"/>
      <c r="F185" s="46"/>
      <c r="G185" s="172">
        <f>G183+G175+G169+G166+G158+G152+G139+G128+G121+G111+G109+G99+G81+G76</f>
        <v>6351182</v>
      </c>
      <c r="I185" s="45"/>
      <c r="K185" s="49"/>
    </row>
    <row r="186" spans="3:11" ht="13.5" thickTop="1">
      <c r="C186" s="33"/>
      <c r="D186" s="33"/>
      <c r="E186" s="184"/>
      <c r="F186" s="33"/>
      <c r="K186" s="49"/>
    </row>
    <row r="187" spans="2:11" ht="12.75">
      <c r="B187" s="44" t="s">
        <v>513</v>
      </c>
      <c r="C187" s="33"/>
      <c r="D187" s="33"/>
      <c r="E187" s="184"/>
      <c r="F187" s="33"/>
      <c r="K187" s="49"/>
    </row>
    <row r="188" spans="2:11" ht="12.75">
      <c r="B188" s="5"/>
      <c r="C188" s="33"/>
      <c r="D188" s="33"/>
      <c r="E188" s="184"/>
      <c r="F188" s="33"/>
      <c r="K188" s="49"/>
    </row>
    <row r="189" spans="2:11" ht="12.75">
      <c r="B189" s="7" t="s">
        <v>355</v>
      </c>
      <c r="C189" s="6">
        <v>2500000</v>
      </c>
      <c r="D189" s="7"/>
      <c r="E189" s="186"/>
      <c r="F189" s="7"/>
      <c r="G189" s="6">
        <v>1383631</v>
      </c>
      <c r="K189" s="45">
        <f>C189-G189</f>
        <v>1116369</v>
      </c>
    </row>
    <row r="190" spans="2:11" ht="12.75">
      <c r="B190" s="7" t="s">
        <v>181</v>
      </c>
      <c r="C190" s="6">
        <f>445000+2500000+2500000</f>
        <v>5445000</v>
      </c>
      <c r="G190" s="6">
        <f>1652092+183288+774127+685086.93</f>
        <v>3294593.93</v>
      </c>
      <c r="K190" s="49">
        <f>C190-G190</f>
        <v>2150406.07</v>
      </c>
    </row>
    <row r="191" spans="2:7" ht="12.75">
      <c r="B191" s="7" t="s">
        <v>516</v>
      </c>
      <c r="G191" s="6">
        <v>315698</v>
      </c>
    </row>
    <row r="192" spans="2:11" ht="12.75">
      <c r="B192" s="7" t="s">
        <v>545</v>
      </c>
      <c r="G192" s="6">
        <v>0</v>
      </c>
      <c r="K192" s="45">
        <f aca="true" t="shared" si="0" ref="K192:K199">C192-G192</f>
        <v>0</v>
      </c>
    </row>
    <row r="193" spans="2:11" ht="12.75">
      <c r="B193" s="7" t="s">
        <v>547</v>
      </c>
      <c r="C193" s="6">
        <v>1000000</v>
      </c>
      <c r="G193" s="6">
        <f>1381498.97+6100</f>
        <v>1387598.97</v>
      </c>
      <c r="K193" s="45">
        <f t="shared" si="0"/>
        <v>-387598.97</v>
      </c>
    </row>
    <row r="194" spans="2:11" ht="12.75">
      <c r="B194" s="7" t="s">
        <v>550</v>
      </c>
      <c r="C194" s="6">
        <v>3365000</v>
      </c>
      <c r="G194" s="6">
        <v>1156220</v>
      </c>
      <c r="K194" s="45">
        <f t="shared" si="0"/>
        <v>2208780</v>
      </c>
    </row>
    <row r="195" spans="2:11" ht="13.5" customHeight="1">
      <c r="B195" s="7" t="s">
        <v>551</v>
      </c>
      <c r="C195" s="6">
        <v>3765000</v>
      </c>
      <c r="G195" s="6">
        <f>707649.31+56936.87</f>
        <v>764586.18</v>
      </c>
      <c r="K195" s="45">
        <f t="shared" si="0"/>
        <v>3000413.82</v>
      </c>
    </row>
    <row r="196" spans="2:11" ht="13.5" customHeight="1">
      <c r="B196" s="7" t="s">
        <v>538</v>
      </c>
      <c r="G196" s="6">
        <v>49896.25</v>
      </c>
      <c r="K196" s="45"/>
    </row>
    <row r="197" spans="2:11" ht="13.5" customHeight="1">
      <c r="B197" s="7" t="s">
        <v>566</v>
      </c>
      <c r="C197" s="6">
        <v>3915000</v>
      </c>
      <c r="G197" s="6">
        <v>2867854.1</v>
      </c>
      <c r="K197" s="45">
        <f t="shared" si="0"/>
        <v>1047145.8999999999</v>
      </c>
    </row>
    <row r="198" spans="2:11" ht="13.5" customHeight="1">
      <c r="B198" s="7" t="s">
        <v>572</v>
      </c>
      <c r="C198" s="6">
        <v>1500000</v>
      </c>
      <c r="G198" s="6">
        <v>0</v>
      </c>
      <c r="K198" s="45">
        <f t="shared" si="0"/>
        <v>1500000</v>
      </c>
    </row>
    <row r="199" spans="2:11" ht="13.5" customHeight="1">
      <c r="B199" s="7" t="s">
        <v>565</v>
      </c>
      <c r="G199" s="6">
        <v>220321</v>
      </c>
      <c r="K199" s="45">
        <f t="shared" si="0"/>
        <v>-220321</v>
      </c>
    </row>
    <row r="200" ht="13.5" customHeight="1"/>
    <row r="201" spans="3:7" ht="13.5" customHeight="1">
      <c r="C201" s="46">
        <f>SUM(C188:C200)</f>
        <v>21490000</v>
      </c>
      <c r="D201" s="33"/>
      <c r="E201" s="184"/>
      <c r="F201" s="33"/>
      <c r="G201" s="46">
        <f>SUM(G188:G200)</f>
        <v>11440399.43</v>
      </c>
    </row>
    <row r="202" ht="13.5" customHeight="1"/>
    <row r="203" spans="2:11" ht="13.5" customHeight="1">
      <c r="B203" s="44" t="s">
        <v>571</v>
      </c>
      <c r="C203" s="6">
        <v>150000</v>
      </c>
      <c r="K203" s="45">
        <f>C203-G207</f>
        <v>-1300</v>
      </c>
    </row>
    <row r="204" spans="2:7" ht="12.75">
      <c r="B204" s="7" t="s">
        <v>568</v>
      </c>
      <c r="G204" s="6">
        <v>151300</v>
      </c>
    </row>
    <row r="205" ht="12.75">
      <c r="B205" s="7" t="s">
        <v>570</v>
      </c>
    </row>
    <row r="207" spans="3:7" ht="16.5">
      <c r="C207" s="46">
        <f>SUM(C203:C205)</f>
        <v>150000</v>
      </c>
      <c r="G207" s="46">
        <f>SUM(G204:G205)</f>
        <v>151300</v>
      </c>
    </row>
    <row r="209" spans="2:11" ht="12.75">
      <c r="B209" s="44" t="s">
        <v>581</v>
      </c>
      <c r="K209" s="45">
        <f>C209-G227</f>
        <v>-4463981.27</v>
      </c>
    </row>
    <row r="210" spans="2:7" ht="12.75">
      <c r="B210" s="7" t="s">
        <v>537</v>
      </c>
      <c r="G210" s="6">
        <v>121821</v>
      </c>
    </row>
    <row r="211" spans="2:7" ht="12.75">
      <c r="B211" s="7" t="s">
        <v>541</v>
      </c>
      <c r="C211" s="6">
        <v>25000</v>
      </c>
      <c r="G211" s="6">
        <v>0</v>
      </c>
    </row>
    <row r="212" spans="2:7" ht="12.75">
      <c r="B212" s="7" t="s">
        <v>546</v>
      </c>
      <c r="C212" s="6">
        <v>1272120</v>
      </c>
      <c r="G212" s="6">
        <v>1229354</v>
      </c>
    </row>
    <row r="213" spans="2:7" ht="12.75">
      <c r="B213" s="7" t="s">
        <v>559</v>
      </c>
      <c r="C213" s="6">
        <v>200000</v>
      </c>
      <c r="G213" s="6">
        <v>518093</v>
      </c>
    </row>
    <row r="214" spans="2:7" ht="12.75">
      <c r="B214" s="7" t="s">
        <v>266</v>
      </c>
      <c r="C214" s="6">
        <v>40000</v>
      </c>
      <c r="G214" s="6">
        <v>66714</v>
      </c>
    </row>
    <row r="215" spans="2:7" ht="12.75">
      <c r="B215" s="7" t="s">
        <v>548</v>
      </c>
      <c r="C215" s="6">
        <f>850000</f>
        <v>850000</v>
      </c>
      <c r="G215" s="6">
        <v>0</v>
      </c>
    </row>
    <row r="216" spans="2:7" ht="12.75">
      <c r="B216" s="7" t="s">
        <v>549</v>
      </c>
      <c r="C216" s="6">
        <v>500000</v>
      </c>
      <c r="G216" s="6">
        <v>86981.25</v>
      </c>
    </row>
    <row r="217" spans="2:7" ht="12.75">
      <c r="B217" s="7" t="s">
        <v>555</v>
      </c>
      <c r="C217" s="6">
        <v>0</v>
      </c>
      <c r="G217" s="6">
        <v>205750</v>
      </c>
    </row>
    <row r="218" spans="2:7" ht="12.75">
      <c r="B218" s="7" t="s">
        <v>556</v>
      </c>
      <c r="C218" s="6">
        <v>250000</v>
      </c>
      <c r="G218" s="6">
        <v>33587</v>
      </c>
    </row>
    <row r="219" spans="2:7" ht="12.75">
      <c r="B219" s="7" t="s">
        <v>558</v>
      </c>
      <c r="G219" s="6">
        <v>365585</v>
      </c>
    </row>
    <row r="220" spans="2:7" ht="12.75">
      <c r="B220" s="7" t="s">
        <v>562</v>
      </c>
      <c r="C220" s="6">
        <v>297375</v>
      </c>
      <c r="G220" s="6">
        <v>105314.76</v>
      </c>
    </row>
    <row r="221" spans="2:7" ht="12.75">
      <c r="B221" s="7" t="s">
        <v>481</v>
      </c>
      <c r="C221" s="33"/>
      <c r="G221" s="6">
        <v>1500000</v>
      </c>
    </row>
    <row r="222" spans="2:7" ht="12.75">
      <c r="B222" s="7" t="s">
        <v>567</v>
      </c>
      <c r="C222" s="33"/>
      <c r="G222" s="6">
        <v>1683</v>
      </c>
    </row>
    <row r="223" spans="2:7" ht="12.75">
      <c r="B223" s="7" t="s">
        <v>574</v>
      </c>
      <c r="G223" s="6">
        <v>191715.76</v>
      </c>
    </row>
    <row r="224" spans="2:7" ht="12.75">
      <c r="B224" s="7" t="s">
        <v>482</v>
      </c>
      <c r="C224" s="33"/>
      <c r="G224" s="6">
        <v>37382.5</v>
      </c>
    </row>
    <row r="225" spans="2:7" ht="12.75">
      <c r="B225" s="7" t="s">
        <v>579</v>
      </c>
      <c r="C225" s="33"/>
      <c r="G225" s="6">
        <v>0</v>
      </c>
    </row>
    <row r="226" ht="12.75">
      <c r="C226" s="33"/>
    </row>
    <row r="227" spans="2:7" ht="16.5">
      <c r="B227" s="5" t="s">
        <v>580</v>
      </c>
      <c r="C227" s="46">
        <f>SUM(C209:C225)</f>
        <v>3434495</v>
      </c>
      <c r="G227" s="46">
        <f>SUM(G210:G225)</f>
        <v>4463981.27</v>
      </c>
    </row>
    <row r="228" spans="2:7" ht="12.75">
      <c r="B228" s="5"/>
      <c r="C228" s="33"/>
      <c r="G228" s="33"/>
    </row>
    <row r="229" spans="2:9" ht="15" thickBot="1">
      <c r="B229" s="170" t="s">
        <v>589</v>
      </c>
      <c r="C229" s="172">
        <f>C227+C207+C199+C198+C197+C195+C194+C193+C192+C190+C189</f>
        <v>25074495</v>
      </c>
      <c r="D229" s="48"/>
      <c r="E229" s="187"/>
      <c r="F229" s="48"/>
      <c r="G229" s="172">
        <f>G227+G207+G201</f>
        <v>16055680.7</v>
      </c>
      <c r="I229" s="45">
        <f>G229+G235+G257</f>
        <v>20643318.21</v>
      </c>
    </row>
    <row r="230" spans="3:9" ht="13.5" thickTop="1">
      <c r="C230" s="33"/>
      <c r="I230" s="131">
        <f>20643318.01-I229</f>
        <v>-0.19999999925494194</v>
      </c>
    </row>
    <row r="231" spans="2:3" ht="12.75">
      <c r="B231" s="5" t="s">
        <v>539</v>
      </c>
      <c r="C231" s="33"/>
    </row>
    <row r="232" spans="2:3" ht="12.75">
      <c r="B232" s="7" t="s">
        <v>488</v>
      </c>
      <c r="C232" s="33"/>
    </row>
    <row r="233" spans="2:3" ht="12.75">
      <c r="B233" s="7" t="s">
        <v>502</v>
      </c>
      <c r="C233" s="33"/>
    </row>
    <row r="234" spans="2:3" ht="12.75">
      <c r="B234" s="7" t="s">
        <v>578</v>
      </c>
      <c r="C234" s="33"/>
    </row>
    <row r="235" spans="2:7" ht="12.75">
      <c r="B235" s="170" t="s">
        <v>590</v>
      </c>
      <c r="C235" s="33">
        <f>SUM(C232:C234)</f>
        <v>0</v>
      </c>
      <c r="G235" s="33">
        <f>SUM(G232:G234)</f>
        <v>0</v>
      </c>
    </row>
    <row r="236" ht="12.75">
      <c r="C236" s="33"/>
    </row>
    <row r="237" spans="2:11" ht="12.75">
      <c r="B237" s="5" t="s">
        <v>542</v>
      </c>
      <c r="C237" s="33"/>
      <c r="K237" s="45"/>
    </row>
    <row r="238" spans="2:7" ht="12.75">
      <c r="B238" s="7" t="s">
        <v>543</v>
      </c>
      <c r="C238" s="33"/>
      <c r="G238" s="6">
        <v>29087</v>
      </c>
    </row>
    <row r="239" spans="2:7" ht="12.75">
      <c r="B239" s="7" t="s">
        <v>544</v>
      </c>
      <c r="C239" s="33"/>
      <c r="G239" s="6">
        <f>184288+14722</f>
        <v>199010</v>
      </c>
    </row>
    <row r="240" spans="2:7" ht="12.75">
      <c r="B240" s="7" t="s">
        <v>560</v>
      </c>
      <c r="C240" s="33">
        <f>1342500</f>
        <v>1342500</v>
      </c>
      <c r="G240" s="6">
        <f>189915</f>
        <v>189915</v>
      </c>
    </row>
    <row r="241" spans="2:7" ht="12.75">
      <c r="B241" s="7" t="s">
        <v>577</v>
      </c>
      <c r="C241" s="33">
        <v>407000</v>
      </c>
      <c r="G241" s="6">
        <f>913912+395456</f>
        <v>1309368</v>
      </c>
    </row>
    <row r="242" spans="2:11" ht="12.75">
      <c r="B242" s="7" t="s">
        <v>187</v>
      </c>
      <c r="G242" s="6">
        <v>332324</v>
      </c>
      <c r="K242" s="45"/>
    </row>
    <row r="243" spans="2:11" ht="12.75">
      <c r="B243" s="7" t="s">
        <v>552</v>
      </c>
      <c r="G243" s="6">
        <v>69257</v>
      </c>
      <c r="K243" s="45"/>
    </row>
    <row r="244" spans="2:11" ht="12.75">
      <c r="B244" s="7" t="s">
        <v>553</v>
      </c>
      <c r="G244" s="6">
        <v>1150</v>
      </c>
      <c r="K244" s="45"/>
    </row>
    <row r="245" spans="2:11" ht="12.75">
      <c r="B245" s="7" t="s">
        <v>573</v>
      </c>
      <c r="G245" s="6">
        <v>98190</v>
      </c>
      <c r="K245" s="45"/>
    </row>
    <row r="246" spans="2:11" ht="12.75">
      <c r="B246" s="7" t="s">
        <v>554</v>
      </c>
      <c r="C246" s="6">
        <v>2011000</v>
      </c>
      <c r="G246" s="6">
        <f>1674768.51+68645</f>
        <v>1743413.51</v>
      </c>
      <c r="K246" s="45"/>
    </row>
    <row r="247" spans="2:11" ht="12.75">
      <c r="B247" s="7" t="s">
        <v>557</v>
      </c>
      <c r="G247" s="6">
        <v>4484</v>
      </c>
      <c r="K247" s="45"/>
    </row>
    <row r="248" spans="2:11" ht="12.75">
      <c r="B248" s="7" t="s">
        <v>367</v>
      </c>
      <c r="G248" s="6">
        <v>48685</v>
      </c>
      <c r="K248" s="45"/>
    </row>
    <row r="249" spans="2:11" ht="12.75">
      <c r="B249" s="7" t="s">
        <v>569</v>
      </c>
      <c r="G249" s="6">
        <v>3905</v>
      </c>
      <c r="K249" s="45"/>
    </row>
    <row r="250" spans="2:11" ht="12.75">
      <c r="B250" s="7" t="s">
        <v>561</v>
      </c>
      <c r="G250" s="6">
        <v>223396.5</v>
      </c>
      <c r="K250" s="45"/>
    </row>
    <row r="251" spans="2:11" ht="12.75">
      <c r="B251" s="7" t="s">
        <v>563</v>
      </c>
      <c r="C251" s="6">
        <v>200000</v>
      </c>
      <c r="G251" s="6">
        <f>439</f>
        <v>439</v>
      </c>
      <c r="K251" s="45"/>
    </row>
    <row r="252" spans="2:11" ht="12.75">
      <c r="B252" s="7" t="s">
        <v>450</v>
      </c>
      <c r="G252" s="6">
        <v>0</v>
      </c>
      <c r="K252" s="45"/>
    </row>
    <row r="253" spans="2:11" ht="12.75">
      <c r="B253" s="7" t="s">
        <v>576</v>
      </c>
      <c r="G253" s="6">
        <f>103284+3965</f>
        <v>107249</v>
      </c>
      <c r="K253" s="45"/>
    </row>
    <row r="254" spans="2:11" ht="12.75">
      <c r="B254" s="7" t="s">
        <v>705</v>
      </c>
      <c r="C254" s="6">
        <v>1200000</v>
      </c>
      <c r="G254" s="6">
        <v>0</v>
      </c>
      <c r="K254" s="45"/>
    </row>
    <row r="255" spans="2:7" ht="12.75">
      <c r="B255" s="7" t="s">
        <v>704</v>
      </c>
      <c r="C255" s="33">
        <v>4500000</v>
      </c>
      <c r="G255" s="6">
        <f>221195.5+1400+2000+1285+1500+384</f>
        <v>227764.5</v>
      </c>
    </row>
    <row r="256" ht="12.75">
      <c r="C256" s="33"/>
    </row>
    <row r="257" spans="2:11" ht="15" thickBot="1">
      <c r="B257" s="170" t="s">
        <v>591</v>
      </c>
      <c r="C257" s="172">
        <f>SUM(C237:C255)</f>
        <v>9660500</v>
      </c>
      <c r="D257" s="48"/>
      <c r="E257" s="187"/>
      <c r="F257" s="48"/>
      <c r="G257" s="172">
        <f>SUM(G238:G255)</f>
        <v>4587637.51</v>
      </c>
      <c r="I257" s="45"/>
      <c r="K257" s="131"/>
    </row>
    <row r="258" ht="12.75" hidden="1">
      <c r="C258" s="33"/>
    </row>
    <row r="259" spans="2:3" ht="12.75" hidden="1">
      <c r="B259" s="5"/>
      <c r="C259" s="33"/>
    </row>
    <row r="260" spans="2:3" ht="12.75" hidden="1">
      <c r="B260" s="5"/>
      <c r="C260" s="33"/>
    </row>
    <row r="261" spans="2:3" ht="13.5" thickTop="1">
      <c r="B261" s="5"/>
      <c r="C261" s="33"/>
    </row>
    <row r="262" spans="2:7" ht="12.75">
      <c r="B262" s="5" t="s">
        <v>366</v>
      </c>
      <c r="C262" s="33"/>
      <c r="G262" s="6">
        <v>1010583</v>
      </c>
    </row>
    <row r="263" spans="2:3" ht="12.75" hidden="1">
      <c r="B263" s="5"/>
      <c r="C263" s="33"/>
    </row>
    <row r="264" spans="2:11" ht="12.75" hidden="1">
      <c r="B264" s="5" t="s">
        <v>188</v>
      </c>
      <c r="C264" s="33"/>
      <c r="G264" s="6">
        <v>0</v>
      </c>
      <c r="K264" s="49">
        <f>C264-G264</f>
        <v>0</v>
      </c>
    </row>
    <row r="265" ht="12.75" hidden="1"/>
    <row r="267" spans="3:11" ht="13.5" thickBot="1">
      <c r="C267" s="188">
        <f>C264+C262+C257+C235+C229+C185+C73+C61</f>
        <v>49328995</v>
      </c>
      <c r="D267" s="189"/>
      <c r="E267" s="190">
        <f>E264+E262+E257+E235+E229+E185+E73+E61</f>
        <v>0</v>
      </c>
      <c r="F267" s="189"/>
      <c r="G267" s="188">
        <f>G264+G262+G257+G235+G229+G185+G73+G61</f>
        <v>39788517.21</v>
      </c>
      <c r="H267" s="191"/>
      <c r="I267" s="188">
        <f>I264+I262+I257+I235+I229+I185+I73+I61</f>
        <v>20643318.21</v>
      </c>
      <c r="J267" s="191"/>
      <c r="K267" s="188">
        <f>K264+K262+K257+K235+K229+K185+K73+K61</f>
        <v>2551066</v>
      </c>
    </row>
    <row r="268" ht="13.5" thickTop="1"/>
    <row r="270" ht="17.25">
      <c r="B270" s="53"/>
    </row>
  </sheetData>
  <sheetProtection/>
  <mergeCells count="2">
    <mergeCell ref="B2:D2"/>
    <mergeCell ref="B3:B4"/>
  </mergeCells>
  <printOptions gridLines="1"/>
  <pageMargins left="0.75" right="0.25" top="0.5" bottom="0.5" header="0.5" footer="0.5"/>
  <pageSetup horizontalDpi="600" verticalDpi="600" orientation="portrait" scale="65" r:id="rId1"/>
  <ignoredErrors>
    <ignoredError sqref="F73:G73 C81:G81 C73:D73 F61:G61 C267:K267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4.7109375" style="10" customWidth="1"/>
    <col min="2" max="2" width="11.00390625" style="10" bestFit="1" customWidth="1"/>
    <col min="3" max="3" width="10.140625" style="10" customWidth="1"/>
    <col min="4" max="4" width="9.140625" style="10" customWidth="1"/>
    <col min="5" max="5" width="5.00390625" style="10" customWidth="1"/>
    <col min="6" max="6" width="23.421875" style="10" customWidth="1"/>
    <col min="7" max="7" width="11.57421875" style="10" bestFit="1" customWidth="1"/>
    <col min="8" max="8" width="10.28125" style="10" customWidth="1"/>
    <col min="9" max="9" width="9.28125" style="10" bestFit="1" customWidth="1"/>
    <col min="10" max="16384" width="9.140625" style="10" customWidth="1"/>
  </cols>
  <sheetData>
    <row r="1" spans="1:7" ht="12.75">
      <c r="A1" s="14" t="s">
        <v>314</v>
      </c>
      <c r="B1" s="84"/>
      <c r="G1" s="17"/>
    </row>
    <row r="2" spans="2:9" ht="12.75">
      <c r="B2" s="16" t="s">
        <v>336</v>
      </c>
      <c r="C2" s="85" t="s">
        <v>315</v>
      </c>
      <c r="D2" s="86"/>
      <c r="G2" s="16" t="s">
        <v>336</v>
      </c>
      <c r="H2" s="87" t="s">
        <v>315</v>
      </c>
      <c r="I2" s="87"/>
    </row>
    <row r="3" spans="1:9" ht="12.75">
      <c r="A3" s="88" t="s">
        <v>337</v>
      </c>
      <c r="B3" s="19" t="s">
        <v>335</v>
      </c>
      <c r="C3" s="19" t="s">
        <v>316</v>
      </c>
      <c r="D3" s="19" t="s">
        <v>158</v>
      </c>
      <c r="E3" s="21"/>
      <c r="F3" s="88" t="s">
        <v>338</v>
      </c>
      <c r="G3" s="19" t="s">
        <v>335</v>
      </c>
      <c r="H3" s="19" t="s">
        <v>316</v>
      </c>
      <c r="I3" s="19" t="s">
        <v>158</v>
      </c>
    </row>
    <row r="4" spans="2:9" ht="12.75">
      <c r="B4" s="12" t="s">
        <v>315</v>
      </c>
      <c r="C4" s="12" t="s">
        <v>487</v>
      </c>
      <c r="D4" s="12"/>
      <c r="G4" s="12" t="s">
        <v>315</v>
      </c>
      <c r="H4" s="89" t="str">
        <f>C4</f>
        <v>30.11.06</v>
      </c>
      <c r="I4" s="12"/>
    </row>
    <row r="5" spans="1:9" ht="12.75">
      <c r="A5" s="16" t="s">
        <v>341</v>
      </c>
      <c r="B5" s="10">
        <v>11.29</v>
      </c>
      <c r="C5" s="28"/>
      <c r="D5" s="18">
        <f>SUM(B5:C5)</f>
        <v>11.29</v>
      </c>
      <c r="E5" s="28"/>
      <c r="F5" s="18" t="s">
        <v>343</v>
      </c>
      <c r="G5" s="28">
        <v>18.41</v>
      </c>
      <c r="H5" s="28" t="e">
        <f>0.19-#REF!/10000000</f>
        <v>#REF!</v>
      </c>
      <c r="I5" s="18" t="e">
        <f>SUM(G5:H5)</f>
        <v>#REF!</v>
      </c>
    </row>
    <row r="6" spans="1:9" ht="12.75">
      <c r="A6" s="16"/>
      <c r="C6" s="28"/>
      <c r="D6" s="18"/>
      <c r="E6" s="28"/>
      <c r="F6" s="18"/>
      <c r="G6" s="18"/>
      <c r="H6" s="28"/>
      <c r="I6" s="16"/>
    </row>
    <row r="7" spans="1:9" ht="12.75">
      <c r="A7" s="16" t="s">
        <v>342</v>
      </c>
      <c r="B7" s="10">
        <v>97.52</v>
      </c>
      <c r="C7" s="28" t="e">
        <f>#REF!/10000000+0.17</f>
        <v>#REF!</v>
      </c>
      <c r="D7" s="18" t="e">
        <f>SUM(B7:C7)</f>
        <v>#REF!</v>
      </c>
      <c r="E7" s="28"/>
      <c r="F7" s="18" t="s">
        <v>317</v>
      </c>
      <c r="G7" s="28">
        <f>15.69-14.25</f>
        <v>1.4399999999999995</v>
      </c>
      <c r="H7" s="28">
        <f>I7-G7</f>
        <v>25.550000000000004</v>
      </c>
      <c r="I7" s="18">
        <f>25.55+1.44</f>
        <v>26.990000000000002</v>
      </c>
    </row>
    <row r="8" spans="1:9" ht="12.75">
      <c r="A8" s="16" t="s">
        <v>344</v>
      </c>
      <c r="B8" s="28">
        <v>-2.05</v>
      </c>
      <c r="C8" s="28" t="e">
        <f>#REF!/10000000</f>
        <v>#REF!</v>
      </c>
      <c r="D8" s="18" t="e">
        <f>SUM(B8:C8)</f>
        <v>#REF!</v>
      </c>
      <c r="E8" s="28"/>
      <c r="F8" s="18"/>
      <c r="G8" s="28"/>
      <c r="H8" s="28"/>
      <c r="I8" s="16"/>
    </row>
    <row r="9" spans="5:9" ht="12.75">
      <c r="E9" s="28"/>
      <c r="F9" s="18" t="s">
        <v>318</v>
      </c>
      <c r="G9" s="28">
        <f>6.2+23.72</f>
        <v>29.919999999999998</v>
      </c>
      <c r="H9" s="28">
        <f>I9-G9</f>
        <v>-24.979999999999997</v>
      </c>
      <c r="I9" s="18">
        <v>4.94</v>
      </c>
    </row>
    <row r="10" spans="1:9" ht="12.75">
      <c r="A10" s="16" t="s">
        <v>319</v>
      </c>
      <c r="B10" s="10">
        <v>10.74</v>
      </c>
      <c r="C10" s="28">
        <f>D10-B10</f>
        <v>-0.7000000000000011</v>
      </c>
      <c r="D10" s="18">
        <v>10.04</v>
      </c>
      <c r="E10" s="28"/>
      <c r="F10" s="18"/>
      <c r="G10" s="28"/>
      <c r="H10" s="28"/>
      <c r="I10" s="16"/>
    </row>
    <row r="11" spans="5:9" ht="12.75">
      <c r="E11" s="28"/>
      <c r="F11" s="18" t="s">
        <v>320</v>
      </c>
      <c r="G11" s="28">
        <f>17+14.25</f>
        <v>31.25</v>
      </c>
      <c r="H11" s="28">
        <f>I11-G11</f>
        <v>13.25</v>
      </c>
      <c r="I11" s="18">
        <v>44.5</v>
      </c>
    </row>
    <row r="12" spans="5:9" ht="12.75">
      <c r="E12" s="28"/>
      <c r="F12" s="18"/>
      <c r="G12" s="18"/>
      <c r="H12" s="28"/>
      <c r="I12" s="16"/>
    </row>
    <row r="13" spans="5:9" ht="12.75">
      <c r="E13" s="28"/>
      <c r="F13" s="18" t="s">
        <v>321</v>
      </c>
      <c r="G13" s="28">
        <v>0.39</v>
      </c>
      <c r="H13" s="28">
        <v>-0.01</v>
      </c>
      <c r="I13" s="18">
        <v>0.38</v>
      </c>
    </row>
    <row r="14" spans="5:9" ht="12.75">
      <c r="E14" s="28"/>
      <c r="F14" s="18"/>
      <c r="G14" s="18"/>
      <c r="H14" s="28"/>
      <c r="I14" s="16"/>
    </row>
    <row r="15" spans="3:9" ht="12.75">
      <c r="C15" s="28"/>
      <c r="D15" s="18"/>
      <c r="E15" s="28"/>
      <c r="F15" s="18" t="s">
        <v>322</v>
      </c>
      <c r="G15" s="28">
        <f>0.11+1.06+1.13</f>
        <v>2.3</v>
      </c>
      <c r="H15" s="28">
        <v>0</v>
      </c>
      <c r="I15" s="18">
        <f>SUM(G15:H15)</f>
        <v>2.3</v>
      </c>
    </row>
    <row r="16" spans="3:9" ht="12.75">
      <c r="C16" s="28"/>
      <c r="D16" s="18"/>
      <c r="E16" s="28"/>
      <c r="F16" s="18"/>
      <c r="G16" s="18"/>
      <c r="H16" s="28"/>
      <c r="I16" s="18"/>
    </row>
    <row r="17" spans="3:9" ht="12.75">
      <c r="C17" s="28"/>
      <c r="D17" s="18"/>
      <c r="E17" s="28"/>
      <c r="F17" s="18" t="s">
        <v>347</v>
      </c>
      <c r="G17" s="28">
        <v>2.2</v>
      </c>
      <c r="H17" s="28">
        <v>0</v>
      </c>
      <c r="I17" s="18">
        <v>2.2</v>
      </c>
    </row>
    <row r="18" spans="3:9" ht="12.75">
      <c r="C18" s="28"/>
      <c r="D18" s="18"/>
      <c r="E18" s="28"/>
      <c r="F18" s="18"/>
      <c r="G18" s="18"/>
      <c r="H18" s="28"/>
      <c r="I18" s="18"/>
    </row>
    <row r="19" spans="3:9" ht="12.75">
      <c r="C19" s="28"/>
      <c r="D19" s="18"/>
      <c r="E19" s="28"/>
      <c r="F19" s="18" t="s">
        <v>323</v>
      </c>
      <c r="G19" s="28">
        <v>4.94</v>
      </c>
      <c r="H19" s="28">
        <f>I19-G19</f>
        <v>-2.47</v>
      </c>
      <c r="I19" s="18">
        <v>2.47</v>
      </c>
    </row>
    <row r="20" spans="3:9" ht="12.75">
      <c r="C20" s="28"/>
      <c r="D20" s="18"/>
      <c r="E20" s="28"/>
      <c r="F20" s="18"/>
      <c r="G20" s="18"/>
      <c r="H20" s="28"/>
      <c r="I20" s="18"/>
    </row>
    <row r="21" spans="3:9" ht="12.75">
      <c r="C21" s="28"/>
      <c r="D21" s="18"/>
      <c r="E21" s="28"/>
      <c r="F21" s="18" t="s">
        <v>324</v>
      </c>
      <c r="G21" s="28">
        <v>2.66</v>
      </c>
      <c r="H21" s="28">
        <v>0</v>
      </c>
      <c r="I21" s="18">
        <f>SUM(G21:H21)</f>
        <v>2.66</v>
      </c>
    </row>
    <row r="22" spans="3:9" ht="12.75">
      <c r="C22" s="28"/>
      <c r="D22" s="18"/>
      <c r="E22" s="28"/>
      <c r="F22" s="18"/>
      <c r="G22" s="18"/>
      <c r="H22" s="28"/>
      <c r="I22" s="18"/>
    </row>
    <row r="23" spans="3:9" ht="12.75">
      <c r="C23" s="28"/>
      <c r="D23" s="18"/>
      <c r="E23" s="28"/>
      <c r="F23" s="18" t="s">
        <v>325</v>
      </c>
      <c r="G23" s="18"/>
      <c r="H23" s="28"/>
      <c r="I23" s="18"/>
    </row>
    <row r="24" spans="3:9" ht="12.75">
      <c r="C24" s="28"/>
      <c r="D24" s="18"/>
      <c r="E24" s="28"/>
      <c r="F24" s="90" t="s">
        <v>326</v>
      </c>
      <c r="G24" s="91">
        <f>G48</f>
        <v>23.990000000000006</v>
      </c>
      <c r="H24" s="28">
        <f>H48</f>
        <v>-11.220000000000002</v>
      </c>
      <c r="I24" s="18">
        <f>G24+H24</f>
        <v>12.770000000000003</v>
      </c>
    </row>
    <row r="25" spans="2:9" ht="13.5" thickBot="1">
      <c r="B25" s="30">
        <f>SUM(B5:B24)</f>
        <v>117.5</v>
      </c>
      <c r="C25" s="30" t="e">
        <f>SUM(C5:C24)</f>
        <v>#REF!</v>
      </c>
      <c r="D25" s="30" t="e">
        <f>SUM(D5:D24)</f>
        <v>#REF!</v>
      </c>
      <c r="E25" s="28"/>
      <c r="F25" s="18"/>
      <c r="G25" s="30">
        <f>SUM(G5:G24)</f>
        <v>117.5</v>
      </c>
      <c r="H25" s="30" t="e">
        <f>SUM(H5:H24)</f>
        <v>#REF!</v>
      </c>
      <c r="I25" s="30" t="e">
        <f>SUM(I5:I24)</f>
        <v>#REF!</v>
      </c>
    </row>
    <row r="26" spans="3:9" ht="13.5" thickTop="1">
      <c r="C26" s="28"/>
      <c r="D26" s="92" t="e">
        <f>I25-D25</f>
        <v>#REF!</v>
      </c>
      <c r="E26" s="28"/>
      <c r="H26" s="92"/>
      <c r="I26" s="92"/>
    </row>
    <row r="27" spans="1:5" ht="12.75">
      <c r="A27" s="28"/>
      <c r="E27" s="28"/>
    </row>
    <row r="28" spans="3:9" ht="12.75">
      <c r="C28" s="93"/>
      <c r="D28" s="93"/>
      <c r="E28" s="28"/>
      <c r="F28" s="18"/>
      <c r="G28" s="18"/>
      <c r="H28" s="93"/>
      <c r="I28" s="93"/>
    </row>
    <row r="29" spans="2:9" ht="12.75">
      <c r="B29" s="17"/>
      <c r="C29" s="93"/>
      <c r="D29" s="93"/>
      <c r="E29" s="28"/>
      <c r="F29" s="18"/>
      <c r="G29" s="94"/>
      <c r="H29" s="93"/>
      <c r="I29" s="93"/>
    </row>
    <row r="30" spans="2:9" ht="12.75">
      <c r="B30" s="16" t="s">
        <v>336</v>
      </c>
      <c r="C30" s="85" t="s">
        <v>315</v>
      </c>
      <c r="D30" s="86"/>
      <c r="E30" s="28"/>
      <c r="F30" s="18"/>
      <c r="G30" s="16" t="s">
        <v>336</v>
      </c>
      <c r="H30" s="85" t="s">
        <v>315</v>
      </c>
      <c r="I30" s="86"/>
    </row>
    <row r="31" spans="1:9" ht="12.75">
      <c r="A31" s="16" t="s">
        <v>326</v>
      </c>
      <c r="B31" s="19" t="s">
        <v>335</v>
      </c>
      <c r="C31" s="19" t="s">
        <v>316</v>
      </c>
      <c r="D31" s="58"/>
      <c r="E31" s="28"/>
      <c r="G31" s="19" t="s">
        <v>335</v>
      </c>
      <c r="H31" s="19" t="s">
        <v>316</v>
      </c>
      <c r="I31" s="58"/>
    </row>
    <row r="32" spans="1:9" ht="12.75">
      <c r="A32" s="95"/>
      <c r="B32" s="12" t="s">
        <v>315</v>
      </c>
      <c r="C32" s="12" t="str">
        <f>C4</f>
        <v>30.11.06</v>
      </c>
      <c r="D32" s="12" t="s">
        <v>158</v>
      </c>
      <c r="E32" s="28"/>
      <c r="G32" s="12" t="s">
        <v>315</v>
      </c>
      <c r="H32" s="12" t="str">
        <f>C32</f>
        <v>30.11.06</v>
      </c>
      <c r="I32" s="12" t="s">
        <v>158</v>
      </c>
    </row>
    <row r="33" spans="1:9" ht="12.75">
      <c r="A33" s="96" t="s">
        <v>325</v>
      </c>
      <c r="B33" s="95"/>
      <c r="C33" s="28"/>
      <c r="D33" s="18"/>
      <c r="E33" s="28"/>
      <c r="F33" s="95" t="s">
        <v>325</v>
      </c>
      <c r="G33" s="95"/>
      <c r="H33" s="28"/>
      <c r="I33" s="16"/>
    </row>
    <row r="34" spans="1:9" ht="12.75">
      <c r="A34" s="96" t="s">
        <v>339</v>
      </c>
      <c r="B34" s="95"/>
      <c r="C34" s="28"/>
      <c r="D34" s="18"/>
      <c r="E34" s="28"/>
      <c r="F34" s="95" t="s">
        <v>340</v>
      </c>
      <c r="G34" s="95"/>
      <c r="H34" s="28"/>
      <c r="I34" s="16"/>
    </row>
    <row r="35" spans="1:10" ht="12.75">
      <c r="A35" s="16" t="s">
        <v>327</v>
      </c>
      <c r="B35" s="18">
        <v>16.9</v>
      </c>
      <c r="C35" s="28">
        <f>D35-B35</f>
        <v>-10.469999999999999</v>
      </c>
      <c r="D35" s="18">
        <f>6.31+0.03+0.09</f>
        <v>6.43</v>
      </c>
      <c r="E35" s="28"/>
      <c r="F35" s="18" t="s">
        <v>328</v>
      </c>
      <c r="G35" s="18">
        <v>27.37</v>
      </c>
      <c r="H35" s="28">
        <f>I35-G35</f>
        <v>-18.6</v>
      </c>
      <c r="I35" s="18">
        <v>8.77</v>
      </c>
      <c r="J35" s="28">
        <f>16.23-7.46</f>
        <v>8.77</v>
      </c>
    </row>
    <row r="36" spans="2:9" ht="12.75">
      <c r="B36" s="28"/>
      <c r="C36" s="28"/>
      <c r="D36" s="18"/>
      <c r="E36" s="28"/>
      <c r="F36" s="18"/>
      <c r="G36" s="18"/>
      <c r="H36" s="28"/>
      <c r="I36" s="16"/>
    </row>
    <row r="37" spans="1:10" ht="12.75">
      <c r="A37" s="16" t="s">
        <v>329</v>
      </c>
      <c r="B37" s="18">
        <v>5.88</v>
      </c>
      <c r="C37" s="28">
        <f>D37-B37</f>
        <v>6.3999999999999995</v>
      </c>
      <c r="D37" s="18">
        <f>1.19+11.09</f>
        <v>12.28</v>
      </c>
      <c r="E37" s="28"/>
      <c r="F37" s="16" t="s">
        <v>330</v>
      </c>
      <c r="G37" s="16">
        <v>7.81</v>
      </c>
      <c r="H37" s="28">
        <f>I37-G37</f>
        <v>3.810000000000003</v>
      </c>
      <c r="I37" s="18">
        <f>7.28+11.09-8.86+0.06+0.63+1.51-0.09</f>
        <v>11.620000000000003</v>
      </c>
      <c r="J37" s="10">
        <f>7.28+11.09-8.85</f>
        <v>9.520000000000001</v>
      </c>
    </row>
    <row r="38" spans="2:9" ht="12.75">
      <c r="B38" s="28"/>
      <c r="C38" s="28"/>
      <c r="D38" s="18"/>
      <c r="E38" s="28"/>
      <c r="F38" s="16"/>
      <c r="G38" s="16"/>
      <c r="H38" s="28"/>
      <c r="I38" s="18"/>
    </row>
    <row r="39" spans="1:9" ht="12.75">
      <c r="A39" s="16" t="s">
        <v>345</v>
      </c>
      <c r="B39" s="18">
        <v>0.04</v>
      </c>
      <c r="C39" s="28">
        <f>D39-B39</f>
        <v>0</v>
      </c>
      <c r="D39" s="18">
        <v>0.04</v>
      </c>
      <c r="E39" s="28"/>
      <c r="F39" s="18" t="s">
        <v>331</v>
      </c>
      <c r="G39" s="18">
        <f>13.65-7.53-0.99</f>
        <v>5.13</v>
      </c>
      <c r="H39" s="28">
        <f>I39-G39</f>
        <v>1.7899999999999991</v>
      </c>
      <c r="I39" s="18">
        <f>15.44-0.99-7.53</f>
        <v>6.919999999999999</v>
      </c>
    </row>
    <row r="40" spans="2:9" ht="12.75">
      <c r="B40" s="28"/>
      <c r="C40" s="28"/>
      <c r="D40" s="18"/>
      <c r="E40" s="28"/>
      <c r="F40" s="18" t="s">
        <v>346</v>
      </c>
      <c r="G40" s="18"/>
      <c r="H40" s="28"/>
      <c r="I40" s="18"/>
    </row>
    <row r="41" spans="2:9" ht="12.75">
      <c r="B41" s="28"/>
      <c r="C41" s="28"/>
      <c r="D41" s="18"/>
      <c r="E41" s="28"/>
      <c r="F41" s="18"/>
      <c r="G41" s="18"/>
      <c r="H41" s="28"/>
      <c r="I41" s="18"/>
    </row>
    <row r="42" spans="1:9" ht="12.75">
      <c r="A42" s="16" t="s">
        <v>332</v>
      </c>
      <c r="B42" s="18"/>
      <c r="C42" s="28">
        <f>D42-B42</f>
        <v>0</v>
      </c>
      <c r="D42" s="18">
        <v>0</v>
      </c>
      <c r="E42" s="28"/>
      <c r="F42" s="18" t="s">
        <v>333</v>
      </c>
      <c r="G42" s="18">
        <v>2.29</v>
      </c>
      <c r="H42" s="28">
        <f>I42-G42</f>
        <v>-1.26</v>
      </c>
      <c r="I42" s="18">
        <f>0.05+0.98</f>
        <v>1.03</v>
      </c>
    </row>
    <row r="43" spans="3:9" ht="12.75">
      <c r="C43" s="28"/>
      <c r="D43" s="18"/>
      <c r="E43" s="28"/>
      <c r="F43" s="18"/>
      <c r="G43" s="18"/>
      <c r="H43" s="28"/>
      <c r="I43" s="18"/>
    </row>
    <row r="44" spans="3:9" ht="12.75">
      <c r="C44" s="28"/>
      <c r="D44" s="18"/>
      <c r="E44" s="28"/>
      <c r="F44" s="18" t="s">
        <v>334</v>
      </c>
      <c r="G44" s="18">
        <f>29.85-G19-G21-13.65-2.2-1.06-1.13</f>
        <v>4.21</v>
      </c>
      <c r="H44" s="28">
        <f>I44-G44</f>
        <v>-1.0300000000000007</v>
      </c>
      <c r="I44" s="18">
        <f>10.91-I19-I21-I15-I17+0.09+0.1+0.33+0.13+0.34+0.55+0.84-0.48</f>
        <v>3.1799999999999993</v>
      </c>
    </row>
    <row r="45" spans="3:9" ht="12.75">
      <c r="C45" s="28"/>
      <c r="D45" s="18"/>
      <c r="E45" s="28"/>
      <c r="F45" s="16"/>
      <c r="G45" s="16"/>
      <c r="H45" s="28"/>
      <c r="I45" s="16"/>
    </row>
    <row r="46" spans="2:9" ht="13.5" thickBot="1">
      <c r="B46" s="30">
        <f>SUM(B31:B45)</f>
        <v>22.819999999999997</v>
      </c>
      <c r="C46" s="30">
        <f>SUM(C31:C45)</f>
        <v>-4.069999999999999</v>
      </c>
      <c r="D46" s="30">
        <f>SUM(D31:D45)</f>
        <v>18.75</v>
      </c>
      <c r="E46" s="28"/>
      <c r="F46" s="28"/>
      <c r="G46" s="30">
        <f>SUM(G31:G45)</f>
        <v>46.81</v>
      </c>
      <c r="H46" s="30">
        <f>SUM(H31:H45)</f>
        <v>-15.290000000000001</v>
      </c>
      <c r="I46" s="30">
        <f>SUM(I31:I45)</f>
        <v>31.52</v>
      </c>
    </row>
    <row r="47" spans="3:8" ht="13.5" thickTop="1">
      <c r="C47" s="28"/>
      <c r="D47" s="28"/>
      <c r="E47" s="28"/>
      <c r="H47" s="28"/>
    </row>
    <row r="48" spans="3:9" ht="12.75">
      <c r="C48" s="28"/>
      <c r="D48" s="28"/>
      <c r="E48" s="28"/>
      <c r="F48" s="10" t="s">
        <v>326</v>
      </c>
      <c r="G48" s="18">
        <f>G46-B46</f>
        <v>23.990000000000006</v>
      </c>
      <c r="H48" s="18">
        <f>H46-C46</f>
        <v>-11.220000000000002</v>
      </c>
      <c r="I48" s="18">
        <f>I46-D46</f>
        <v>12.77</v>
      </c>
    </row>
    <row r="49" spans="3:8" ht="12.75">
      <c r="C49" s="28"/>
      <c r="D49" s="28"/>
      <c r="E49" s="28"/>
      <c r="F49" s="28"/>
      <c r="G49" s="28"/>
      <c r="H49" s="28"/>
    </row>
    <row r="50" spans="3:8" ht="12.75">
      <c r="C50" s="28"/>
      <c r="D50" s="28"/>
      <c r="E50" s="28"/>
      <c r="F50" s="28"/>
      <c r="G50" s="28"/>
      <c r="H50" s="28"/>
    </row>
    <row r="51" spans="3:8" ht="12.75">
      <c r="C51" s="28"/>
      <c r="D51" s="28"/>
      <c r="E51" s="28"/>
      <c r="F51" s="28"/>
      <c r="G51" s="28"/>
      <c r="H51" s="28"/>
    </row>
    <row r="52" spans="3:8" ht="12.75">
      <c r="C52" s="28"/>
      <c r="D52" s="28"/>
      <c r="E52" s="28"/>
      <c r="F52" s="28"/>
      <c r="G52" s="28"/>
      <c r="H52" s="28"/>
    </row>
    <row r="53" spans="3:8" ht="12.75">
      <c r="C53" s="28"/>
      <c r="D53" s="28"/>
      <c r="E53" s="28"/>
      <c r="F53" s="28"/>
      <c r="G53" s="28"/>
      <c r="H53" s="28"/>
    </row>
  </sheetData>
  <sheetProtection/>
  <printOptions gridLines="1"/>
  <pageMargins left="1" right="0.75" top="0.25" bottom="0.25" header="0.2" footer="0.17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pane ySplit="3" topLeftCell="BM177" activePane="bottomLeft" state="frozen"/>
      <selection pane="topLeft" activeCell="A1" sqref="A1"/>
      <selection pane="bottomLeft" activeCell="G194" sqref="G194"/>
    </sheetView>
  </sheetViews>
  <sheetFormatPr defaultColWidth="8.8515625" defaultRowHeight="12.75"/>
  <cols>
    <col min="1" max="1" width="4.421875" style="7" customWidth="1"/>
    <col min="2" max="2" width="39.28125" style="7" customWidth="1"/>
    <col min="3" max="3" width="15.7109375" style="6" customWidth="1"/>
    <col min="4" max="4" width="1.7109375" style="6" customWidth="1"/>
    <col min="5" max="5" width="15.7109375" style="6" customWidth="1"/>
    <col min="6" max="6" width="1.7109375" style="6" customWidth="1"/>
    <col min="7" max="7" width="15.7109375" style="6" customWidth="1"/>
    <col min="8" max="8" width="1.7109375" style="7" customWidth="1"/>
    <col min="9" max="9" width="15.7109375" style="7" customWidth="1"/>
    <col min="10" max="10" width="1.7109375" style="7" customWidth="1"/>
    <col min="11" max="11" width="15.7109375" style="7" customWidth="1"/>
    <col min="12" max="12" width="1.7109375" style="7" customWidth="1"/>
    <col min="13" max="16384" width="8.8515625" style="7" customWidth="1"/>
  </cols>
  <sheetData>
    <row r="1" spans="2:6" ht="21.75">
      <c r="B1" s="325" t="s">
        <v>485</v>
      </c>
      <c r="C1" s="325"/>
      <c r="D1" s="168"/>
      <c r="E1" s="43"/>
      <c r="F1" s="43"/>
    </row>
    <row r="2" spans="2:11" ht="12.75">
      <c r="B2" s="326" t="s">
        <v>152</v>
      </c>
      <c r="C2" s="8" t="s">
        <v>159</v>
      </c>
      <c r="E2" s="33" t="s">
        <v>167</v>
      </c>
      <c r="G2" s="8" t="s">
        <v>168</v>
      </c>
      <c r="I2" s="31" t="s">
        <v>169</v>
      </c>
      <c r="K2" s="31" t="s">
        <v>170</v>
      </c>
    </row>
    <row r="3" spans="2:11" ht="12.75">
      <c r="B3" s="327"/>
      <c r="C3" s="26" t="s">
        <v>171</v>
      </c>
      <c r="D3" s="8"/>
      <c r="E3" s="26" t="s">
        <v>171</v>
      </c>
      <c r="F3" s="8"/>
      <c r="G3" s="32" t="s">
        <v>368</v>
      </c>
      <c r="I3" s="26" t="s">
        <v>172</v>
      </c>
      <c r="K3" s="32" t="str">
        <f>G3</f>
        <v>30.06.2007</v>
      </c>
    </row>
    <row r="4" spans="2:3" ht="12.75">
      <c r="B4" s="44" t="s">
        <v>173</v>
      </c>
      <c r="C4" s="6">
        <v>1200000</v>
      </c>
    </row>
    <row r="5" spans="1:7" ht="12.75">
      <c r="A5" s="44"/>
      <c r="B5" s="7" t="s">
        <v>592</v>
      </c>
      <c r="E5" s="6">
        <v>20000</v>
      </c>
      <c r="G5" s="6">
        <v>20000</v>
      </c>
    </row>
    <row r="6" spans="1:7" ht="12.75">
      <c r="A6" s="44"/>
      <c r="B6" s="7" t="s">
        <v>594</v>
      </c>
      <c r="E6" s="6">
        <v>10000</v>
      </c>
      <c r="G6" s="6">
        <v>10000</v>
      </c>
    </row>
    <row r="7" spans="1:7" ht="12.75">
      <c r="A7" s="44"/>
      <c r="B7" s="7" t="s">
        <v>595</v>
      </c>
      <c r="E7" s="6">
        <v>8000</v>
      </c>
      <c r="G7" s="6">
        <v>8000</v>
      </c>
    </row>
    <row r="8" spans="1:7" ht="12.75">
      <c r="A8" s="44"/>
      <c r="B8" s="7" t="s">
        <v>596</v>
      </c>
      <c r="E8" s="6">
        <v>10000</v>
      </c>
      <c r="G8" s="6">
        <v>10000</v>
      </c>
    </row>
    <row r="9" spans="1:7" ht="12.75">
      <c r="A9" s="44"/>
      <c r="B9" s="7" t="s">
        <v>597</v>
      </c>
      <c r="E9" s="6">
        <v>10000</v>
      </c>
      <c r="G9" s="6">
        <v>15000</v>
      </c>
    </row>
    <row r="10" spans="1:7" ht="12.75">
      <c r="A10" s="44"/>
      <c r="B10" s="7" t="s">
        <v>598</v>
      </c>
      <c r="E10" s="6">
        <v>20000</v>
      </c>
      <c r="G10" s="6">
        <v>20000</v>
      </c>
    </row>
    <row r="11" spans="1:7" ht="12.75">
      <c r="A11" s="44"/>
      <c r="B11" s="7" t="s">
        <v>378</v>
      </c>
      <c r="E11" s="6">
        <v>10000</v>
      </c>
      <c r="G11" s="6">
        <v>10000</v>
      </c>
    </row>
    <row r="12" spans="1:7" ht="12.75">
      <c r="A12" s="44"/>
      <c r="B12" s="7" t="s">
        <v>599</v>
      </c>
      <c r="E12" s="6">
        <v>20000</v>
      </c>
      <c r="G12" s="6">
        <v>20000</v>
      </c>
    </row>
    <row r="13" spans="1:7" ht="12.75">
      <c r="A13" s="44"/>
      <c r="B13" s="7" t="s">
        <v>600</v>
      </c>
      <c r="E13" s="6">
        <v>10000</v>
      </c>
      <c r="G13" s="6">
        <v>10000</v>
      </c>
    </row>
    <row r="14" spans="1:7" ht="12.75">
      <c r="A14" s="44"/>
      <c r="B14" s="7" t="s">
        <v>601</v>
      </c>
      <c r="E14" s="6">
        <v>75000</v>
      </c>
      <c r="G14" s="6">
        <v>61000</v>
      </c>
    </row>
    <row r="15" spans="1:7" ht="12.75">
      <c r="A15" s="44"/>
      <c r="B15" s="7" t="s">
        <v>602</v>
      </c>
      <c r="E15" s="6">
        <v>60000</v>
      </c>
      <c r="G15" s="6">
        <v>40000</v>
      </c>
    </row>
    <row r="16" spans="1:7" ht="12.75">
      <c r="A16" s="44"/>
      <c r="B16" s="7" t="s">
        <v>603</v>
      </c>
      <c r="E16" s="6">
        <v>15000</v>
      </c>
      <c r="G16" s="6">
        <v>15000</v>
      </c>
    </row>
    <row r="17" spans="1:7" ht="12.75">
      <c r="A17" s="44"/>
      <c r="B17" s="7" t="s">
        <v>604</v>
      </c>
      <c r="E17" s="6">
        <v>20000</v>
      </c>
      <c r="G17" s="6">
        <v>20000</v>
      </c>
    </row>
    <row r="18" spans="1:7" ht="12.75">
      <c r="A18" s="44"/>
      <c r="B18" s="7" t="s">
        <v>725</v>
      </c>
      <c r="E18" s="6">
        <v>50000</v>
      </c>
      <c r="G18" s="6">
        <v>35000</v>
      </c>
    </row>
    <row r="19" spans="1:7" ht="12.75">
      <c r="A19" s="44"/>
      <c r="B19" s="7" t="s">
        <v>605</v>
      </c>
      <c r="E19" s="6">
        <v>7500</v>
      </c>
      <c r="G19" s="6">
        <v>7500</v>
      </c>
    </row>
    <row r="20" spans="1:7" ht="12.75">
      <c r="A20" s="44"/>
      <c r="B20" s="7" t="s">
        <v>606</v>
      </c>
      <c r="E20" s="6">
        <v>15000</v>
      </c>
      <c r="G20" s="6">
        <v>15000</v>
      </c>
    </row>
    <row r="21" spans="1:7" ht="12.75">
      <c r="A21" s="44"/>
      <c r="B21" s="7" t="s">
        <v>607</v>
      </c>
      <c r="E21" s="6">
        <v>20000</v>
      </c>
      <c r="G21" s="6">
        <v>20000</v>
      </c>
    </row>
    <row r="22" spans="1:7" ht="12.75">
      <c r="A22" s="44"/>
      <c r="B22" s="7" t="s">
        <v>609</v>
      </c>
      <c r="E22" s="6">
        <v>10000</v>
      </c>
      <c r="G22" s="6">
        <v>10000</v>
      </c>
    </row>
    <row r="23" spans="1:7" ht="12.75">
      <c r="A23" s="44"/>
      <c r="B23" s="7" t="s">
        <v>610</v>
      </c>
      <c r="E23" s="6">
        <v>10000</v>
      </c>
      <c r="G23" s="6">
        <v>10000</v>
      </c>
    </row>
    <row r="24" spans="1:7" ht="12.75">
      <c r="A24" s="44"/>
      <c r="B24" s="7" t="s">
        <v>608</v>
      </c>
      <c r="E24" s="6">
        <v>85000</v>
      </c>
      <c r="G24" s="6">
        <f>25000+40000</f>
        <v>65000</v>
      </c>
    </row>
    <row r="25" spans="1:7" ht="12.75">
      <c r="A25" s="44"/>
      <c r="B25" s="7" t="s">
        <v>611</v>
      </c>
      <c r="E25" s="6">
        <v>15000</v>
      </c>
      <c r="G25" s="6">
        <v>15000</v>
      </c>
    </row>
    <row r="26" spans="1:7" ht="12.75">
      <c r="A26" s="44"/>
      <c r="B26" s="7" t="s">
        <v>612</v>
      </c>
      <c r="E26" s="6">
        <v>10000</v>
      </c>
      <c r="G26" s="6">
        <v>10000</v>
      </c>
    </row>
    <row r="27" spans="1:7" ht="12.75">
      <c r="A27" s="44"/>
      <c r="B27" s="7" t="s">
        <v>613</v>
      </c>
      <c r="E27" s="6">
        <v>15000</v>
      </c>
      <c r="G27" s="6">
        <v>10000</v>
      </c>
    </row>
    <row r="28" spans="1:7" ht="12.75">
      <c r="A28" s="44"/>
      <c r="B28" s="7" t="s">
        <v>614</v>
      </c>
      <c r="E28" s="6">
        <v>10000</v>
      </c>
      <c r="G28" s="6">
        <v>10000</v>
      </c>
    </row>
    <row r="29" spans="1:7" ht="12.75">
      <c r="A29" s="44"/>
      <c r="B29" s="7" t="s">
        <v>647</v>
      </c>
      <c r="E29" s="6">
        <v>15000</v>
      </c>
      <c r="G29" s="6">
        <v>15000</v>
      </c>
    </row>
    <row r="30" spans="1:7" ht="12.75">
      <c r="A30" s="44"/>
      <c r="B30" s="7" t="s">
        <v>615</v>
      </c>
      <c r="E30" s="6">
        <v>10000</v>
      </c>
      <c r="G30" s="6">
        <v>10000</v>
      </c>
    </row>
    <row r="31" spans="1:7" ht="12.75">
      <c r="A31" s="44"/>
      <c r="B31" s="7" t="s">
        <v>616</v>
      </c>
      <c r="E31" s="6">
        <v>20000</v>
      </c>
      <c r="G31" s="6">
        <v>20000</v>
      </c>
    </row>
    <row r="32" spans="1:7" ht="12.75">
      <c r="A32" s="44"/>
      <c r="B32" s="7" t="s">
        <v>617</v>
      </c>
      <c r="E32" s="6">
        <v>18000</v>
      </c>
      <c r="G32" s="6">
        <v>18000</v>
      </c>
    </row>
    <row r="33" spans="1:7" ht="12.75">
      <c r="A33" s="44"/>
      <c r="B33" s="7" t="s">
        <v>618</v>
      </c>
      <c r="E33" s="6">
        <v>10000</v>
      </c>
      <c r="G33" s="6">
        <v>10000</v>
      </c>
    </row>
    <row r="34" spans="1:7" ht="12.75">
      <c r="A34" s="44"/>
      <c r="B34" s="7" t="s">
        <v>620</v>
      </c>
      <c r="E34" s="6">
        <v>20000</v>
      </c>
      <c r="G34" s="6">
        <v>20000</v>
      </c>
    </row>
    <row r="35" spans="1:7" ht="12.75">
      <c r="A35" s="44"/>
      <c r="B35" s="7" t="s">
        <v>621</v>
      </c>
      <c r="E35" s="6">
        <v>5000</v>
      </c>
      <c r="G35" s="6">
        <v>5000</v>
      </c>
    </row>
    <row r="36" spans="1:7" ht="12.75">
      <c r="A36" s="44"/>
      <c r="B36" s="7" t="s">
        <v>623</v>
      </c>
      <c r="E36" s="6">
        <v>75000</v>
      </c>
      <c r="G36" s="6">
        <v>55000</v>
      </c>
    </row>
    <row r="37" spans="2:11" ht="12.75">
      <c r="B37" s="7" t="s">
        <v>624</v>
      </c>
      <c r="E37" s="6" t="s">
        <v>45</v>
      </c>
      <c r="G37" s="6">
        <v>135000</v>
      </c>
      <c r="K37" s="45"/>
    </row>
    <row r="38" spans="2:11" ht="12.75">
      <c r="B38" s="7" t="s">
        <v>625</v>
      </c>
      <c r="E38" s="6">
        <v>20000</v>
      </c>
      <c r="G38" s="6">
        <v>20000</v>
      </c>
      <c r="K38" s="45"/>
    </row>
    <row r="39" ht="12.75">
      <c r="K39" s="45"/>
    </row>
    <row r="40" ht="12.75">
      <c r="K40" s="45"/>
    </row>
    <row r="41" spans="2:11" ht="13.5" thickBot="1">
      <c r="B41" s="170" t="s">
        <v>583</v>
      </c>
      <c r="C41" s="172">
        <f>SUM(C4:C39)</f>
        <v>1200000</v>
      </c>
      <c r="D41" s="33"/>
      <c r="E41" s="172">
        <f>SUM(E4:E39)</f>
        <v>728500</v>
      </c>
      <c r="F41" s="33"/>
      <c r="G41" s="172">
        <f>SUM(G4:G39)</f>
        <v>774500</v>
      </c>
      <c r="I41" s="33"/>
      <c r="K41" s="33"/>
    </row>
    <row r="42" spans="1:4" ht="13.5" thickTop="1">
      <c r="A42" s="44"/>
      <c r="D42" s="6" t="s">
        <v>174</v>
      </c>
    </row>
    <row r="43" spans="1:11" ht="12.75">
      <c r="A43" s="7">
        <v>2</v>
      </c>
      <c r="B43" s="47" t="s">
        <v>503</v>
      </c>
      <c r="C43" s="8">
        <v>1000000</v>
      </c>
      <c r="D43" s="8"/>
      <c r="E43" s="8"/>
      <c r="F43" s="8"/>
      <c r="G43" s="31"/>
      <c r="I43" s="8"/>
      <c r="K43" s="31"/>
    </row>
    <row r="44" spans="2:7" ht="12.75">
      <c r="B44" s="7" t="s">
        <v>465</v>
      </c>
      <c r="G44" s="6">
        <v>500000</v>
      </c>
    </row>
    <row r="45" spans="2:3" ht="12.75">
      <c r="B45" s="7" t="s">
        <v>23</v>
      </c>
      <c r="C45" s="33"/>
    </row>
    <row r="46" spans="2:3" ht="12.75">
      <c r="B46" s="7" t="s">
        <v>24</v>
      </c>
      <c r="C46" s="33"/>
    </row>
    <row r="47" spans="2:3" ht="12.75">
      <c r="B47" s="7" t="s">
        <v>164</v>
      </c>
      <c r="C47" s="33"/>
    </row>
    <row r="48" spans="2:11" ht="13.5" thickBot="1">
      <c r="B48" s="170" t="s">
        <v>582</v>
      </c>
      <c r="C48" s="172">
        <f>SUM(C44:C46)</f>
        <v>0</v>
      </c>
      <c r="E48" s="173"/>
      <c r="G48" s="172">
        <f>SUM(G44:G47)</f>
        <v>500000</v>
      </c>
      <c r="K48" s="49"/>
    </row>
    <row r="49" spans="2:11" ht="13.5" thickTop="1">
      <c r="B49" s="5"/>
      <c r="C49" s="33"/>
      <c r="G49" s="33"/>
      <c r="K49" s="49"/>
    </row>
    <row r="50" spans="2:4" ht="12.75">
      <c r="B50" s="1" t="s">
        <v>467</v>
      </c>
      <c r="D50" s="6" t="s">
        <v>174</v>
      </c>
    </row>
    <row r="51" spans="2:11" ht="12.75">
      <c r="B51" s="7" t="s">
        <v>699</v>
      </c>
      <c r="C51" s="33">
        <v>100000</v>
      </c>
      <c r="D51" s="33"/>
      <c r="E51" s="33">
        <v>75000</v>
      </c>
      <c r="F51" s="33"/>
      <c r="G51" s="33">
        <v>20000</v>
      </c>
      <c r="I51" s="45"/>
      <c r="K51" s="45"/>
    </row>
    <row r="52" spans="2:11" ht="12.75">
      <c r="B52" s="5"/>
      <c r="C52" s="33"/>
      <c r="G52" s="33"/>
      <c r="I52" s="45"/>
      <c r="K52" s="45"/>
    </row>
    <row r="53" spans="2:3" ht="12.75">
      <c r="B53" s="1" t="s">
        <v>479</v>
      </c>
      <c r="C53" s="33"/>
    </row>
    <row r="54" spans="2:11" ht="12.75">
      <c r="B54" s="7" t="s">
        <v>726</v>
      </c>
      <c r="E54" s="6" t="s">
        <v>49</v>
      </c>
      <c r="G54" s="6">
        <v>42000</v>
      </c>
      <c r="I54" s="45"/>
      <c r="K54" s="45"/>
    </row>
    <row r="55" spans="2:11" ht="12.75">
      <c r="B55" s="7" t="s">
        <v>727</v>
      </c>
      <c r="D55" s="7"/>
      <c r="E55" s="6">
        <v>75000</v>
      </c>
      <c r="F55" s="7"/>
      <c r="G55" s="6">
        <v>20000</v>
      </c>
      <c r="I55" s="45"/>
      <c r="K55" s="45"/>
    </row>
    <row r="56" spans="4:11" ht="12.75">
      <c r="D56" s="7"/>
      <c r="F56" s="7"/>
      <c r="I56" s="45"/>
      <c r="K56" s="45"/>
    </row>
    <row r="57" spans="3:11" ht="12.75">
      <c r="C57" s="33"/>
      <c r="D57" s="33"/>
      <c r="E57" s="33"/>
      <c r="F57" s="33"/>
      <c r="G57" s="33">
        <f>SUM(G54:G55)</f>
        <v>62000</v>
      </c>
      <c r="I57" s="33"/>
      <c r="K57" s="49"/>
    </row>
    <row r="58" ht="12.75">
      <c r="B58" s="1" t="s">
        <v>468</v>
      </c>
    </row>
    <row r="59" spans="2:9" ht="12.75">
      <c r="B59" s="5" t="s">
        <v>506</v>
      </c>
      <c r="I59" s="45"/>
    </row>
    <row r="60" spans="2:9" ht="12.75">
      <c r="B60" s="7" t="s">
        <v>648</v>
      </c>
      <c r="G60" s="6">
        <v>210000</v>
      </c>
      <c r="I60" s="33"/>
    </row>
    <row r="61" spans="2:9" ht="12.75">
      <c r="B61" s="7" t="s">
        <v>660</v>
      </c>
      <c r="C61" s="33"/>
      <c r="E61" s="6" t="s">
        <v>46</v>
      </c>
      <c r="G61" s="6">
        <v>80000</v>
      </c>
      <c r="I61" s="33"/>
    </row>
    <row r="62" spans="2:9" ht="12.75">
      <c r="B62" s="7" t="s">
        <v>661</v>
      </c>
      <c r="C62" s="33"/>
      <c r="E62" s="6" t="s">
        <v>47</v>
      </c>
      <c r="G62" s="6">
        <v>48000</v>
      </c>
      <c r="I62" s="33"/>
    </row>
    <row r="63" spans="3:9" ht="12.75">
      <c r="C63" s="33"/>
      <c r="I63" s="33"/>
    </row>
    <row r="64" spans="3:11" ht="12.75">
      <c r="C64" s="33"/>
      <c r="E64" s="33"/>
      <c r="G64" s="33">
        <f>SUM(G59:G62)</f>
        <v>338000</v>
      </c>
      <c r="I64" s="33"/>
      <c r="K64" s="45"/>
    </row>
    <row r="65" spans="2:3" ht="12.75">
      <c r="B65" s="1" t="s">
        <v>469</v>
      </c>
      <c r="C65" s="33">
        <v>100000</v>
      </c>
    </row>
    <row r="66" spans="3:11" ht="12.75">
      <c r="C66" s="8"/>
      <c r="D66" s="8"/>
      <c r="E66" s="8"/>
      <c r="F66" s="8"/>
      <c r="G66" s="31"/>
      <c r="I66" s="8"/>
      <c r="K66" s="31"/>
    </row>
    <row r="67" ht="12.75">
      <c r="B67" s="1" t="s">
        <v>470</v>
      </c>
    </row>
    <row r="68" spans="2:7" ht="12.75">
      <c r="B68" s="7" t="s">
        <v>632</v>
      </c>
      <c r="E68" s="6">
        <v>450000</v>
      </c>
      <c r="G68" s="6">
        <v>315000</v>
      </c>
    </row>
    <row r="69" spans="2:11" ht="12.75">
      <c r="B69" s="7" t="s">
        <v>626</v>
      </c>
      <c r="E69" s="6">
        <v>15000</v>
      </c>
      <c r="G69" s="6">
        <v>15000</v>
      </c>
      <c r="I69" s="45"/>
      <c r="K69" s="45"/>
    </row>
    <row r="70" spans="2:11" ht="12.75">
      <c r="B70" s="7" t="s">
        <v>627</v>
      </c>
      <c r="E70" s="6">
        <v>20000</v>
      </c>
      <c r="G70" s="6">
        <v>15000</v>
      </c>
      <c r="I70" s="45"/>
      <c r="K70" s="45"/>
    </row>
    <row r="71" spans="2:11" ht="12.75">
      <c r="B71" s="7" t="s">
        <v>628</v>
      </c>
      <c r="E71" s="2">
        <v>18000</v>
      </c>
      <c r="G71" s="6">
        <v>18000</v>
      </c>
      <c r="I71" s="45"/>
      <c r="K71" s="45"/>
    </row>
    <row r="72" spans="2:11" ht="12.75">
      <c r="B72" s="7" t="s">
        <v>629</v>
      </c>
      <c r="E72" s="6">
        <v>250000</v>
      </c>
      <c r="G72" s="6">
        <v>200000</v>
      </c>
      <c r="I72" s="45"/>
      <c r="K72" s="45"/>
    </row>
    <row r="73" spans="2:11" ht="12.75">
      <c r="B73" s="7" t="s">
        <v>630</v>
      </c>
      <c r="E73" s="6">
        <v>10000</v>
      </c>
      <c r="G73" s="6">
        <v>10000</v>
      </c>
      <c r="I73" s="45"/>
      <c r="K73" s="45"/>
    </row>
    <row r="74" spans="2:11" ht="12.75">
      <c r="B74" s="7" t="s">
        <v>631</v>
      </c>
      <c r="E74" s="6">
        <v>12000</v>
      </c>
      <c r="G74" s="6">
        <v>12000</v>
      </c>
      <c r="I74" s="45"/>
      <c r="K74" s="45"/>
    </row>
    <row r="75" spans="9:11" ht="12.75">
      <c r="I75" s="45"/>
      <c r="K75" s="45"/>
    </row>
    <row r="76" spans="3:11" ht="12.75">
      <c r="C76" s="33"/>
      <c r="G76" s="33">
        <f>SUM(G68:G74)</f>
        <v>585000</v>
      </c>
      <c r="I76" s="33"/>
      <c r="K76" s="33"/>
    </row>
    <row r="77" spans="2:11" ht="12.75">
      <c r="B77" s="1" t="s">
        <v>471</v>
      </c>
      <c r="C77" s="33"/>
      <c r="G77" s="33"/>
      <c r="I77" s="33"/>
      <c r="K77" s="33"/>
    </row>
    <row r="78" spans="2:11" ht="12.75">
      <c r="B78" s="7" t="s">
        <v>649</v>
      </c>
      <c r="E78" s="6">
        <v>28000</v>
      </c>
      <c r="G78" s="6">
        <v>28000</v>
      </c>
      <c r="I78" s="45"/>
      <c r="K78" s="45"/>
    </row>
    <row r="79" spans="2:11" ht="12.75">
      <c r="B79" s="7" t="s">
        <v>650</v>
      </c>
      <c r="E79" s="6">
        <v>24000</v>
      </c>
      <c r="G79" s="6">
        <v>24000</v>
      </c>
      <c r="I79" s="45"/>
      <c r="K79" s="45"/>
    </row>
    <row r="80" spans="2:11" ht="12.75">
      <c r="B80" s="7" t="s">
        <v>651</v>
      </c>
      <c r="E80" s="6">
        <v>28000</v>
      </c>
      <c r="G80" s="6">
        <v>28000</v>
      </c>
      <c r="I80" s="45"/>
      <c r="K80" s="45"/>
    </row>
    <row r="81" spans="9:11" ht="12.75">
      <c r="I81" s="45"/>
      <c r="K81" s="45"/>
    </row>
    <row r="82" spans="3:11" ht="12.75">
      <c r="C82" s="33"/>
      <c r="E82" s="33"/>
      <c r="G82" s="33">
        <f>SUM(G78:G80)</f>
        <v>80000</v>
      </c>
      <c r="I82" s="33"/>
      <c r="K82" s="33"/>
    </row>
    <row r="83" ht="12.75">
      <c r="C83" s="33"/>
    </row>
    <row r="84" ht="12.75">
      <c r="B84" s="1" t="s">
        <v>472</v>
      </c>
    </row>
    <row r="85" spans="2:7" ht="12.75">
      <c r="B85" s="7" t="s">
        <v>662</v>
      </c>
      <c r="G85" s="6">
        <v>100000</v>
      </c>
    </row>
    <row r="87" spans="3:11" ht="12.75">
      <c r="C87" s="33"/>
      <c r="D87" s="33"/>
      <c r="E87" s="33"/>
      <c r="F87" s="33"/>
      <c r="G87" s="33">
        <f>SUM(G85:G85)</f>
        <v>100000</v>
      </c>
      <c r="H87" s="5"/>
      <c r="I87" s="33"/>
      <c r="K87" s="49"/>
    </row>
    <row r="89" spans="2:9" ht="12.75">
      <c r="B89" s="1" t="s">
        <v>473</v>
      </c>
      <c r="D89" s="5"/>
      <c r="E89" s="5"/>
      <c r="F89" s="5"/>
      <c r="I89" s="45"/>
    </row>
    <row r="90" spans="2:11" ht="12.75">
      <c r="B90" s="3" t="s">
        <v>652</v>
      </c>
      <c r="E90" s="6">
        <v>21000</v>
      </c>
      <c r="G90" s="6">
        <v>21000</v>
      </c>
      <c r="I90" s="45"/>
      <c r="K90" s="45"/>
    </row>
    <row r="91" spans="2:11" ht="12.75">
      <c r="B91" s="3" t="s">
        <v>653</v>
      </c>
      <c r="E91" s="6">
        <v>21500</v>
      </c>
      <c r="G91" s="6">
        <v>21500</v>
      </c>
      <c r="I91" s="45"/>
      <c r="K91" s="45"/>
    </row>
    <row r="92" spans="2:11" ht="12.75">
      <c r="B92" s="3" t="s">
        <v>654</v>
      </c>
      <c r="E92" s="6">
        <v>102000</v>
      </c>
      <c r="G92" s="6">
        <v>102000</v>
      </c>
      <c r="I92" s="45"/>
      <c r="K92" s="45"/>
    </row>
    <row r="93" spans="2:11" ht="12.75">
      <c r="B93" s="3" t="s">
        <v>655</v>
      </c>
      <c r="E93" s="6">
        <v>20980</v>
      </c>
      <c r="G93" s="6">
        <v>20980</v>
      </c>
      <c r="I93" s="45"/>
      <c r="K93" s="45"/>
    </row>
    <row r="94" spans="2:11" ht="12.75">
      <c r="B94" s="3" t="s">
        <v>349</v>
      </c>
      <c r="I94" s="45"/>
      <c r="K94" s="45"/>
    </row>
    <row r="95" spans="2:11" ht="12.75">
      <c r="B95" s="3"/>
      <c r="C95" s="33"/>
      <c r="E95" s="33"/>
      <c r="G95" s="33">
        <f>SUM(G90:G94)</f>
        <v>165480</v>
      </c>
      <c r="I95" s="33"/>
      <c r="K95" s="33"/>
    </row>
    <row r="96" spans="2:11" ht="12.75">
      <c r="B96" s="3"/>
      <c r="C96" s="33"/>
      <c r="E96" s="33"/>
      <c r="G96" s="33"/>
      <c r="I96" s="33"/>
      <c r="K96" s="33"/>
    </row>
    <row r="97" spans="2:3" ht="12.75">
      <c r="B97" s="169" t="s">
        <v>474</v>
      </c>
      <c r="C97" s="33"/>
    </row>
    <row r="98" spans="2:9" ht="12.75">
      <c r="B98" s="7" t="s">
        <v>176</v>
      </c>
      <c r="C98" s="33"/>
      <c r="I98" s="45"/>
    </row>
    <row r="99" spans="2:9" ht="12.75">
      <c r="B99" s="7" t="s">
        <v>177</v>
      </c>
      <c r="C99" s="33"/>
      <c r="I99" s="45"/>
    </row>
    <row r="100" spans="3:11" ht="12.75">
      <c r="C100" s="33"/>
      <c r="E100" s="33"/>
      <c r="G100" s="33">
        <f>SUM(G98:G99)</f>
        <v>0</v>
      </c>
      <c r="I100" s="33"/>
      <c r="K100" s="49"/>
    </row>
    <row r="101" ht="12.75">
      <c r="B101" s="7" t="s">
        <v>174</v>
      </c>
    </row>
    <row r="102" ht="12.75">
      <c r="B102" s="1" t="s">
        <v>475</v>
      </c>
    </row>
    <row r="103" spans="2:11" ht="12.75">
      <c r="B103" s="7" t="s">
        <v>702</v>
      </c>
      <c r="E103" s="6">
        <v>225000</v>
      </c>
      <c r="G103" s="6">
        <v>140000</v>
      </c>
      <c r="I103" s="45"/>
      <c r="K103" s="45"/>
    </row>
    <row r="104" spans="9:11" ht="12.75">
      <c r="I104" s="45"/>
      <c r="K104" s="45"/>
    </row>
    <row r="105" spans="4:11" ht="12.75">
      <c r="D105" s="7"/>
      <c r="F105" s="7"/>
      <c r="I105" s="45"/>
      <c r="K105" s="45"/>
    </row>
    <row r="106" spans="3:11" ht="12.75">
      <c r="C106" s="33"/>
      <c r="D106" s="33"/>
      <c r="E106" s="33"/>
      <c r="F106" s="33"/>
      <c r="G106" s="33">
        <f>SUM(G103:G105)</f>
        <v>140000</v>
      </c>
      <c r="I106" s="33"/>
      <c r="K106" s="33"/>
    </row>
    <row r="108" ht="12.75">
      <c r="B108" s="1" t="s">
        <v>477</v>
      </c>
    </row>
    <row r="109" spans="2:7" ht="12.75">
      <c r="B109" s="5" t="s">
        <v>483</v>
      </c>
      <c r="C109" s="33"/>
      <c r="E109" s="50" t="s">
        <v>48</v>
      </c>
      <c r="G109" s="33">
        <v>26400</v>
      </c>
    </row>
    <row r="110" spans="2:3" ht="12.75">
      <c r="B110" s="5"/>
      <c r="C110" s="33"/>
    </row>
    <row r="111" spans="2:3" ht="12.75">
      <c r="B111" s="5" t="s">
        <v>511</v>
      </c>
      <c r="C111" s="33"/>
    </row>
    <row r="112" spans="2:11" ht="12.75">
      <c r="B112" s="7" t="s">
        <v>184</v>
      </c>
      <c r="G112" s="6">
        <v>0</v>
      </c>
      <c r="I112" s="45"/>
      <c r="K112" s="45"/>
    </row>
    <row r="113" spans="9:11" ht="12.75">
      <c r="I113" s="45"/>
      <c r="K113" s="45"/>
    </row>
    <row r="114" spans="2:3" ht="12.75">
      <c r="B114" s="5" t="s">
        <v>510</v>
      </c>
      <c r="C114" s="33"/>
    </row>
    <row r="115" spans="2:7" ht="12.75">
      <c r="B115" s="7" t="s">
        <v>728</v>
      </c>
      <c r="C115" s="33"/>
      <c r="G115" s="6">
        <v>0</v>
      </c>
    </row>
    <row r="116" spans="2:7" ht="12.75">
      <c r="B116" s="7" t="s">
        <v>512</v>
      </c>
      <c r="C116" s="33"/>
      <c r="G116" s="6">
        <v>0</v>
      </c>
    </row>
    <row r="117" spans="2:7" ht="12.75">
      <c r="B117" s="7" t="s">
        <v>659</v>
      </c>
      <c r="C117" s="33"/>
      <c r="G117" s="6">
        <f>49000+41270</f>
        <v>90270</v>
      </c>
    </row>
    <row r="118" ht="12.75">
      <c r="C118" s="33"/>
    </row>
    <row r="119" spans="2:7" ht="12.75">
      <c r="B119" s="5"/>
      <c r="C119" s="33"/>
      <c r="G119" s="33">
        <f>SUM(G115:G117)</f>
        <v>90270</v>
      </c>
    </row>
    <row r="120" spans="2:7" ht="12.75">
      <c r="B120" s="5"/>
      <c r="C120" s="33"/>
      <c r="G120" s="33"/>
    </row>
    <row r="121" spans="2:11" ht="13.5" thickBot="1">
      <c r="B121" s="170" t="s">
        <v>588</v>
      </c>
      <c r="C121" s="172"/>
      <c r="D121" s="33"/>
      <c r="E121" s="172"/>
      <c r="F121" s="33"/>
      <c r="G121" s="172">
        <f>G119+G112+G109+G106+G100+G95+G87+G82+G76+G64+G57+G51</f>
        <v>1607150</v>
      </c>
      <c r="I121" s="45"/>
      <c r="K121" s="49"/>
    </row>
    <row r="122" spans="3:11" ht="13.5" thickTop="1">
      <c r="C122" s="33"/>
      <c r="D122" s="33"/>
      <c r="E122" s="33"/>
      <c r="F122" s="33"/>
      <c r="K122" s="49"/>
    </row>
    <row r="123" spans="2:11" ht="12.75">
      <c r="B123" s="5" t="s">
        <v>513</v>
      </c>
      <c r="C123" s="33"/>
      <c r="D123" s="33"/>
      <c r="E123" s="33"/>
      <c r="F123" s="33"/>
      <c r="K123" s="49"/>
    </row>
    <row r="124" spans="2:11" ht="12.75">
      <c r="B124" s="5"/>
      <c r="C124" s="33"/>
      <c r="D124" s="33"/>
      <c r="E124" s="33"/>
      <c r="F124" s="33"/>
      <c r="K124" s="49"/>
    </row>
    <row r="125" spans="2:11" ht="12.75">
      <c r="B125" s="7" t="s">
        <v>355</v>
      </c>
      <c r="D125" s="7"/>
      <c r="E125" s="7"/>
      <c r="F125" s="7"/>
      <c r="G125" s="6">
        <f>245621+17471</f>
        <v>263092</v>
      </c>
      <c r="K125" s="45"/>
    </row>
    <row r="126" spans="2:11" ht="12.75">
      <c r="B126" s="7" t="s">
        <v>181</v>
      </c>
      <c r="G126" s="6">
        <f>455643+414715+60960+226617</f>
        <v>1157935</v>
      </c>
      <c r="K126" s="49"/>
    </row>
    <row r="127" spans="2:11" ht="12.75">
      <c r="B127" s="7" t="s">
        <v>545</v>
      </c>
      <c r="G127" s="6">
        <v>0</v>
      </c>
      <c r="K127" s="45"/>
    </row>
    <row r="128" spans="2:11" ht="12.75">
      <c r="B128" s="7" t="s">
        <v>547</v>
      </c>
      <c r="G128" s="6">
        <v>86853</v>
      </c>
      <c r="K128" s="45"/>
    </row>
    <row r="129" spans="2:11" ht="12.75">
      <c r="B129" s="7" t="s">
        <v>550</v>
      </c>
      <c r="G129" s="6">
        <v>876936</v>
      </c>
      <c r="K129" s="45"/>
    </row>
    <row r="130" spans="2:11" ht="13.5" customHeight="1">
      <c r="B130" s="7" t="s">
        <v>551</v>
      </c>
      <c r="G130" s="6">
        <v>821063.94</v>
      </c>
      <c r="K130" s="45"/>
    </row>
    <row r="131" spans="2:11" ht="13.5" customHeight="1">
      <c r="B131" s="7" t="s">
        <v>566</v>
      </c>
      <c r="G131" s="6">
        <v>1646449.58</v>
      </c>
      <c r="K131" s="45"/>
    </row>
    <row r="132" spans="2:11" ht="13.5" customHeight="1">
      <c r="B132" s="7" t="s">
        <v>572</v>
      </c>
      <c r="G132" s="6">
        <v>0</v>
      </c>
      <c r="K132" s="45"/>
    </row>
    <row r="133" spans="2:11" ht="13.5" customHeight="1">
      <c r="B133" s="7" t="s">
        <v>565</v>
      </c>
      <c r="G133" s="6">
        <v>65470</v>
      </c>
      <c r="K133" s="45"/>
    </row>
    <row r="134" ht="13.5" customHeight="1">
      <c r="K134" s="45"/>
    </row>
    <row r="135" spans="7:11" ht="13.5" customHeight="1">
      <c r="G135" s="33">
        <f>SUM(G124:G133)</f>
        <v>4917799.52</v>
      </c>
      <c r="K135" s="45"/>
    </row>
    <row r="136" ht="13.5" customHeight="1"/>
    <row r="137" spans="2:11" ht="13.5" customHeight="1">
      <c r="B137" s="5" t="s">
        <v>571</v>
      </c>
      <c r="K137" s="45"/>
    </row>
    <row r="138" spans="2:11" ht="13.5" customHeight="1">
      <c r="B138" s="7" t="s">
        <v>50</v>
      </c>
      <c r="E138" s="6">
        <v>1200000</v>
      </c>
      <c r="G138" s="6">
        <v>0</v>
      </c>
      <c r="K138" s="45"/>
    </row>
    <row r="139" spans="2:7" ht="12.75">
      <c r="B139" s="7" t="s">
        <v>568</v>
      </c>
      <c r="G139" s="6">
        <v>0</v>
      </c>
    </row>
    <row r="140" spans="2:7" ht="12.75">
      <c r="B140" s="7" t="s">
        <v>570</v>
      </c>
      <c r="G140" s="6">
        <v>1010</v>
      </c>
    </row>
    <row r="142" ht="12.75">
      <c r="G142" s="33">
        <f>SUM(G138:G140)</f>
        <v>1010</v>
      </c>
    </row>
    <row r="144" spans="2:11" ht="12.75">
      <c r="B144" s="5" t="s">
        <v>581</v>
      </c>
      <c r="K144" s="45"/>
    </row>
    <row r="145" spans="2:7" ht="12.75">
      <c r="B145" s="7" t="s">
        <v>540</v>
      </c>
      <c r="G145" s="6">
        <v>31250</v>
      </c>
    </row>
    <row r="146" spans="2:7" ht="12.75">
      <c r="B146" s="7" t="s">
        <v>541</v>
      </c>
      <c r="G146" s="6">
        <v>0</v>
      </c>
    </row>
    <row r="147" spans="2:7" ht="12.75">
      <c r="B147" s="7" t="s">
        <v>546</v>
      </c>
      <c r="G147" s="6">
        <v>990842</v>
      </c>
    </row>
    <row r="148" spans="2:7" ht="12.75">
      <c r="B148" s="7" t="s">
        <v>559</v>
      </c>
      <c r="G148" s="6">
        <v>468381</v>
      </c>
    </row>
    <row r="149" spans="2:7" ht="12.75">
      <c r="B149" s="7" t="s">
        <v>266</v>
      </c>
      <c r="G149" s="6">
        <v>14000</v>
      </c>
    </row>
    <row r="150" spans="2:7" ht="12.75">
      <c r="B150" s="7" t="s">
        <v>549</v>
      </c>
      <c r="G150" s="6">
        <v>78000</v>
      </c>
    </row>
    <row r="151" spans="2:7" ht="12.75">
      <c r="B151" s="7" t="s">
        <v>556</v>
      </c>
      <c r="G151" s="6">
        <v>4332</v>
      </c>
    </row>
    <row r="152" spans="2:7" ht="12.75">
      <c r="B152" s="7" t="s">
        <v>558</v>
      </c>
      <c r="G152" s="6">
        <f>450047-9218</f>
        <v>440829</v>
      </c>
    </row>
    <row r="153" spans="2:7" ht="12.75">
      <c r="B153" s="7" t="s">
        <v>372</v>
      </c>
      <c r="G153" s="6">
        <v>15000</v>
      </c>
    </row>
    <row r="154" spans="2:7" ht="12.75">
      <c r="B154" s="7" t="s">
        <v>562</v>
      </c>
      <c r="G154" s="6">
        <v>0</v>
      </c>
    </row>
    <row r="155" spans="2:7" ht="12.75">
      <c r="B155" s="7" t="s">
        <v>564</v>
      </c>
      <c r="C155" s="33"/>
      <c r="G155" s="6">
        <v>0</v>
      </c>
    </row>
    <row r="156" spans="2:7" ht="12.75">
      <c r="B156" s="7" t="s">
        <v>567</v>
      </c>
      <c r="C156" s="33"/>
      <c r="G156" s="6">
        <v>0</v>
      </c>
    </row>
    <row r="157" spans="2:7" ht="12.75">
      <c r="B157" s="7" t="s">
        <v>574</v>
      </c>
      <c r="G157" s="6">
        <v>0</v>
      </c>
    </row>
    <row r="158" spans="2:7" ht="12.75">
      <c r="B158" s="7" t="s">
        <v>575</v>
      </c>
      <c r="C158" s="33"/>
      <c r="G158" s="6">
        <v>2526</v>
      </c>
    </row>
    <row r="159" spans="2:3" ht="12.75">
      <c r="B159" s="7" t="s">
        <v>579</v>
      </c>
      <c r="C159" s="33"/>
    </row>
    <row r="160" ht="12.75">
      <c r="C160" s="33"/>
    </row>
    <row r="161" spans="2:7" ht="12.75">
      <c r="B161" s="5" t="s">
        <v>580</v>
      </c>
      <c r="C161" s="33"/>
      <c r="G161" s="33">
        <f>SUM(G145:G159)</f>
        <v>2045160</v>
      </c>
    </row>
    <row r="162" spans="2:7" ht="12.75">
      <c r="B162" s="5"/>
      <c r="C162" s="33"/>
      <c r="G162" s="33"/>
    </row>
    <row r="163" spans="2:9" ht="12.75">
      <c r="B163" s="170" t="s">
        <v>589</v>
      </c>
      <c r="C163" s="33"/>
      <c r="G163" s="33">
        <f>G161+G142+G135</f>
        <v>6963969.52</v>
      </c>
      <c r="I163" s="45"/>
    </row>
    <row r="164" ht="12.75">
      <c r="C164" s="33"/>
    </row>
    <row r="165" spans="2:3" ht="12.75">
      <c r="B165" s="5" t="s">
        <v>539</v>
      </c>
      <c r="C165" s="33"/>
    </row>
    <row r="166" spans="2:3" ht="12.75">
      <c r="B166" s="7" t="s">
        <v>488</v>
      </c>
      <c r="C166" s="33"/>
    </row>
    <row r="167" spans="2:3" ht="12.75">
      <c r="B167" s="7" t="s">
        <v>502</v>
      </c>
      <c r="C167" s="33"/>
    </row>
    <row r="168" spans="2:3" ht="12.75">
      <c r="B168" s="7" t="s">
        <v>578</v>
      </c>
      <c r="C168" s="33"/>
    </row>
    <row r="169" spans="2:7" ht="12.75">
      <c r="B169" s="170" t="s">
        <v>590</v>
      </c>
      <c r="C169" s="33"/>
      <c r="G169" s="33">
        <f>SUM(G166:G168)</f>
        <v>0</v>
      </c>
    </row>
    <row r="170" ht="12.75">
      <c r="C170" s="33"/>
    </row>
    <row r="171" spans="2:11" ht="12.75">
      <c r="B171" s="5" t="s">
        <v>542</v>
      </c>
      <c r="C171" s="33"/>
      <c r="K171" s="45"/>
    </row>
    <row r="172" spans="2:7" ht="12.75">
      <c r="B172" s="7" t="s">
        <v>543</v>
      </c>
      <c r="C172" s="33"/>
      <c r="G172" s="6">
        <v>12260</v>
      </c>
    </row>
    <row r="173" spans="2:7" ht="12.75">
      <c r="B173" s="7" t="s">
        <v>544</v>
      </c>
      <c r="C173" s="33"/>
      <c r="G173" s="6">
        <f>44007+50</f>
        <v>44057</v>
      </c>
    </row>
    <row r="174" spans="2:7" ht="12.75">
      <c r="B174" s="7" t="s">
        <v>560</v>
      </c>
      <c r="C174" s="33"/>
      <c r="G174" s="6">
        <f>318516+50</f>
        <v>318566</v>
      </c>
    </row>
    <row r="175" spans="2:7" ht="12.75">
      <c r="B175" s="7" t="s">
        <v>577</v>
      </c>
      <c r="C175" s="33"/>
      <c r="G175" s="6">
        <v>341460</v>
      </c>
    </row>
    <row r="176" spans="2:11" ht="12.75">
      <c r="B176" s="7" t="s">
        <v>187</v>
      </c>
      <c r="G176" s="6">
        <v>93375</v>
      </c>
      <c r="K176" s="45"/>
    </row>
    <row r="177" spans="2:11" ht="12.75">
      <c r="B177" s="7" t="s">
        <v>552</v>
      </c>
      <c r="G177" s="6">
        <v>34621</v>
      </c>
      <c r="K177" s="45"/>
    </row>
    <row r="178" spans="2:11" ht="12.75">
      <c r="B178" s="7" t="s">
        <v>573</v>
      </c>
      <c r="G178" s="6">
        <v>16690</v>
      </c>
      <c r="K178" s="45"/>
    </row>
    <row r="179" spans="2:11" ht="12.75">
      <c r="B179" s="7" t="s">
        <v>554</v>
      </c>
      <c r="G179" s="6">
        <v>739455</v>
      </c>
      <c r="K179" s="45"/>
    </row>
    <row r="180" spans="2:11" ht="12.75">
      <c r="B180" s="7" t="s">
        <v>557</v>
      </c>
      <c r="G180" s="6">
        <v>22062</v>
      </c>
      <c r="K180" s="45"/>
    </row>
    <row r="181" spans="2:11" ht="12.75">
      <c r="B181" s="7" t="s">
        <v>367</v>
      </c>
      <c r="G181" s="6">
        <v>24409</v>
      </c>
      <c r="K181" s="45"/>
    </row>
    <row r="182" spans="2:11" ht="12.75">
      <c r="B182" s="7" t="s">
        <v>569</v>
      </c>
      <c r="G182" s="6">
        <v>5741</v>
      </c>
      <c r="K182" s="45"/>
    </row>
    <row r="183" spans="2:11" ht="12.75">
      <c r="B183" s="7" t="s">
        <v>561</v>
      </c>
      <c r="G183" s="6">
        <v>430664.1</v>
      </c>
      <c r="K183" s="45"/>
    </row>
    <row r="184" spans="2:11" ht="12.75">
      <c r="B184" s="7" t="s">
        <v>563</v>
      </c>
      <c r="G184" s="6">
        <f>20+15</f>
        <v>35</v>
      </c>
      <c r="K184" s="45"/>
    </row>
    <row r="185" spans="2:11" ht="12.75">
      <c r="B185" s="7" t="s">
        <v>450</v>
      </c>
      <c r="G185" s="6">
        <v>0</v>
      </c>
      <c r="K185" s="45"/>
    </row>
    <row r="186" spans="2:11" ht="12.75">
      <c r="B186" s="7" t="s">
        <v>576</v>
      </c>
      <c r="G186" s="6">
        <v>18655</v>
      </c>
      <c r="K186" s="45"/>
    </row>
    <row r="187" spans="2:7" ht="12.75">
      <c r="B187" s="7" t="s">
        <v>166</v>
      </c>
      <c r="C187" s="33"/>
      <c r="G187" s="6">
        <f>77064+14235+445+4635</f>
        <v>96379</v>
      </c>
    </row>
    <row r="188" ht="12.75">
      <c r="C188" s="33"/>
    </row>
    <row r="189" spans="2:11" ht="12.75">
      <c r="B189" s="170" t="s">
        <v>591</v>
      </c>
      <c r="C189" s="33"/>
      <c r="G189" s="33">
        <f>SUM(G172:G187)</f>
        <v>2198429.1</v>
      </c>
      <c r="I189" s="45"/>
      <c r="K189" s="171"/>
    </row>
    <row r="190" ht="12.75">
      <c r="C190" s="33"/>
    </row>
    <row r="191" spans="2:3" ht="12.75">
      <c r="B191" s="5"/>
      <c r="C191" s="33"/>
    </row>
    <row r="192" spans="2:3" ht="12.75">
      <c r="B192" s="5"/>
      <c r="C192" s="33"/>
    </row>
    <row r="193" spans="2:7" ht="12.75">
      <c r="B193" s="5" t="s">
        <v>366</v>
      </c>
      <c r="C193" s="33"/>
      <c r="G193" s="6">
        <v>111445.55</v>
      </c>
    </row>
    <row r="194" spans="2:3" ht="12.75">
      <c r="B194" s="5"/>
      <c r="C194" s="33"/>
    </row>
    <row r="195" spans="2:11" ht="12.75">
      <c r="B195" s="5" t="s">
        <v>188</v>
      </c>
      <c r="C195" s="33"/>
      <c r="G195" s="6">
        <v>0</v>
      </c>
      <c r="K195" s="49"/>
    </row>
    <row r="197" spans="3:11" ht="13.5" thickBot="1">
      <c r="C197" s="188">
        <f>C195+C193+C189+C169+C163+C121+C48+C41+C65</f>
        <v>1300000</v>
      </c>
      <c r="E197" s="188">
        <f>E195+E193+E189+E169+E163+E121+E48+E41+E138</f>
        <v>1928500</v>
      </c>
      <c r="G197" s="188">
        <f>G195+G193+G189+G169+G163+G121+G48+G41</f>
        <v>12155494.17</v>
      </c>
      <c r="I197" s="188">
        <f>I195+I193+I189+I169+I163+I121+I48+I41</f>
        <v>0</v>
      </c>
      <c r="K197" s="188">
        <f>K195+K193+K189+K169+K163+K121+K48+K41</f>
        <v>0</v>
      </c>
    </row>
    <row r="198" ht="13.5" thickTop="1"/>
    <row r="200" ht="17.25">
      <c r="B200" s="53"/>
    </row>
  </sheetData>
  <sheetProtection/>
  <mergeCells count="2">
    <mergeCell ref="B2:B3"/>
    <mergeCell ref="B1:C1"/>
  </mergeCells>
  <printOptions gridLines="1"/>
  <pageMargins left="0.75" right="0.25" top="0.5" bottom="0.5" header="0.5" footer="0.5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26">
      <selection activeCell="B46" sqref="B46"/>
    </sheetView>
  </sheetViews>
  <sheetFormatPr defaultColWidth="9.140625" defaultRowHeight="12.75"/>
  <cols>
    <col min="1" max="1" width="5.28125" style="3" customWidth="1"/>
    <col min="2" max="2" width="6.00390625" style="3" customWidth="1"/>
    <col min="3" max="3" width="50.421875" style="3" customWidth="1"/>
    <col min="4" max="4" width="15.7109375" style="3" customWidth="1"/>
    <col min="5" max="5" width="16.8515625" style="3" customWidth="1"/>
    <col min="6" max="6" width="17.7109375" style="3" customWidth="1"/>
    <col min="7" max="7" width="17.7109375" style="3" hidden="1" customWidth="1"/>
    <col min="8" max="8" width="14.7109375" style="3" customWidth="1"/>
    <col min="9" max="9" width="18.421875" style="3" hidden="1" customWidth="1"/>
    <col min="10" max="10" width="17.28125" style="3" hidden="1" customWidth="1"/>
    <col min="11" max="11" width="6.7109375" style="3" bestFit="1" customWidth="1"/>
    <col min="12" max="12" width="36.57421875" style="3" customWidth="1"/>
    <col min="13" max="13" width="14.7109375" style="3" customWidth="1"/>
    <col min="14" max="14" width="16.57421875" style="3" customWidth="1"/>
    <col min="15" max="15" width="17.7109375" style="3" bestFit="1" customWidth="1"/>
    <col min="16" max="16" width="16.57421875" style="3" hidden="1" customWidth="1"/>
    <col min="17" max="17" width="16.140625" style="3" bestFit="1" customWidth="1"/>
    <col min="18" max="16384" width="9.140625" style="3" customWidth="1"/>
  </cols>
  <sheetData>
    <row r="1" spans="2:16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ht="17.25">
      <c r="A2" s="7"/>
      <c r="B2" s="330" t="s">
        <v>151</v>
      </c>
      <c r="C2" s="331"/>
      <c r="D2" s="331"/>
      <c r="E2" s="331"/>
      <c r="F2" s="331"/>
      <c r="G2" s="331"/>
      <c r="H2" s="331"/>
      <c r="I2" s="331"/>
      <c r="J2" s="331"/>
      <c r="K2" s="97"/>
      <c r="L2" s="332"/>
      <c r="M2" s="333"/>
      <c r="N2" s="333"/>
      <c r="O2" s="333"/>
      <c r="P2" s="98"/>
      <c r="Q2" s="99"/>
    </row>
    <row r="3" spans="1:17" ht="15">
      <c r="A3" s="7"/>
      <c r="B3" s="328" t="s">
        <v>383</v>
      </c>
      <c r="C3" s="334"/>
      <c r="D3" s="334"/>
      <c r="E3" s="334"/>
      <c r="F3" s="334"/>
      <c r="G3" s="334"/>
      <c r="H3" s="334"/>
      <c r="I3" s="334"/>
      <c r="J3" s="334"/>
      <c r="K3" s="7"/>
      <c r="L3" s="328"/>
      <c r="M3" s="329"/>
      <c r="N3" s="329"/>
      <c r="O3" s="329"/>
      <c r="P3" s="100"/>
      <c r="Q3" s="101"/>
    </row>
    <row r="4" spans="1:17" ht="12.75">
      <c r="A4" s="7"/>
      <c r="B4" s="102"/>
      <c r="C4" s="7"/>
      <c r="D4" s="7"/>
      <c r="E4" s="7"/>
      <c r="F4" s="7"/>
      <c r="G4" s="7"/>
      <c r="H4" s="7"/>
      <c r="I4" s="7"/>
      <c r="J4" s="7"/>
      <c r="K4" s="7"/>
      <c r="L4" s="102"/>
      <c r="M4" s="7"/>
      <c r="N4" s="7"/>
      <c r="O4" s="7"/>
      <c r="P4" s="7"/>
      <c r="Q4" s="101"/>
    </row>
    <row r="5" spans="1:17" ht="15">
      <c r="A5" s="7"/>
      <c r="B5" s="328" t="s">
        <v>709</v>
      </c>
      <c r="C5" s="329"/>
      <c r="D5" s="329"/>
      <c r="E5" s="329"/>
      <c r="F5" s="329"/>
      <c r="G5" s="329"/>
      <c r="H5" s="329"/>
      <c r="I5" s="329"/>
      <c r="J5" s="329"/>
      <c r="K5" s="7"/>
      <c r="L5" s="103" t="s">
        <v>384</v>
      </c>
      <c r="M5" s="104"/>
      <c r="N5" s="104"/>
      <c r="O5" s="104"/>
      <c r="P5" s="104"/>
      <c r="Q5" s="101"/>
    </row>
    <row r="6" spans="2:17" ht="12.75">
      <c r="B6" s="105"/>
      <c r="C6" s="5"/>
      <c r="F6" s="31"/>
      <c r="G6" s="31"/>
      <c r="I6" s="31"/>
      <c r="J6" s="31"/>
      <c r="K6" s="7"/>
      <c r="L6" s="102"/>
      <c r="M6" s="31" t="s">
        <v>385</v>
      </c>
      <c r="N6" s="31"/>
      <c r="O6" s="31"/>
      <c r="P6" s="31"/>
      <c r="Q6" s="101"/>
    </row>
    <row r="7" spans="2:17" ht="13.5">
      <c r="B7" s="105"/>
      <c r="C7" s="5"/>
      <c r="D7" s="47" t="s">
        <v>386</v>
      </c>
      <c r="E7" s="47"/>
      <c r="F7" s="31"/>
      <c r="G7" s="31"/>
      <c r="H7" s="32"/>
      <c r="I7" s="106" t="s">
        <v>387</v>
      </c>
      <c r="J7" s="106" t="s">
        <v>387</v>
      </c>
      <c r="K7" s="7"/>
      <c r="L7" s="102"/>
      <c r="M7" s="31"/>
      <c r="N7" s="31"/>
      <c r="O7" s="31"/>
      <c r="P7" s="31"/>
      <c r="Q7" s="101"/>
    </row>
    <row r="8" spans="2:17" ht="13.5">
      <c r="B8" s="107"/>
      <c r="C8" s="108"/>
      <c r="D8" s="106"/>
      <c r="E8" s="106" t="s">
        <v>388</v>
      </c>
      <c r="F8" s="106"/>
      <c r="G8" s="106"/>
      <c r="H8" s="7"/>
      <c r="I8" s="97"/>
      <c r="J8" s="106" t="s">
        <v>389</v>
      </c>
      <c r="K8" s="109" t="s">
        <v>390</v>
      </c>
      <c r="L8" s="110" t="s">
        <v>152</v>
      </c>
      <c r="M8" s="111"/>
      <c r="N8" s="106" t="s">
        <v>388</v>
      </c>
      <c r="O8" s="106"/>
      <c r="P8" s="106" t="s">
        <v>388</v>
      </c>
      <c r="Q8" s="99"/>
    </row>
    <row r="9" spans="2:17" ht="13.5">
      <c r="B9" s="112"/>
      <c r="D9" s="113" t="s">
        <v>391</v>
      </c>
      <c r="E9" s="113" t="s">
        <v>392</v>
      </c>
      <c r="F9" s="113" t="s">
        <v>129</v>
      </c>
      <c r="G9" s="113" t="s">
        <v>129</v>
      </c>
      <c r="H9" s="114" t="s">
        <v>393</v>
      </c>
      <c r="I9" s="113" t="s">
        <v>394</v>
      </c>
      <c r="J9" s="113" t="s">
        <v>395</v>
      </c>
      <c r="K9" s="102"/>
      <c r="L9" s="115"/>
      <c r="M9" s="116" t="s">
        <v>391</v>
      </c>
      <c r="N9" s="113" t="s">
        <v>392</v>
      </c>
      <c r="O9" s="113" t="s">
        <v>129</v>
      </c>
      <c r="P9" s="113" t="s">
        <v>128</v>
      </c>
      <c r="Q9" s="114" t="s">
        <v>393</v>
      </c>
    </row>
    <row r="10" spans="4:17" ht="13.5">
      <c r="D10" s="113" t="s">
        <v>396</v>
      </c>
      <c r="E10" s="113" t="s">
        <v>397</v>
      </c>
      <c r="F10" s="113" t="s">
        <v>396</v>
      </c>
      <c r="G10" s="113" t="s">
        <v>396</v>
      </c>
      <c r="H10" s="114" t="s">
        <v>396</v>
      </c>
      <c r="I10" s="113" t="s">
        <v>398</v>
      </c>
      <c r="J10" s="113" t="s">
        <v>399</v>
      </c>
      <c r="K10" s="105"/>
      <c r="L10" s="117"/>
      <c r="M10" s="116" t="s">
        <v>396</v>
      </c>
      <c r="N10" s="113" t="s">
        <v>397</v>
      </c>
      <c r="O10" s="113" t="s">
        <v>396</v>
      </c>
      <c r="P10" s="113" t="s">
        <v>397</v>
      </c>
      <c r="Q10" s="114" t="s">
        <v>396</v>
      </c>
    </row>
    <row r="11" spans="2:17" ht="15" customHeight="1">
      <c r="B11" s="112" t="s">
        <v>400</v>
      </c>
      <c r="C11" s="100" t="s">
        <v>153</v>
      </c>
      <c r="D11" s="113" t="s">
        <v>127</v>
      </c>
      <c r="E11" s="113" t="s">
        <v>401</v>
      </c>
      <c r="F11" s="113" t="s">
        <v>127</v>
      </c>
      <c r="G11" s="113" t="str">
        <f>H11</f>
        <v>31.03.2006</v>
      </c>
      <c r="H11" s="114" t="s">
        <v>401</v>
      </c>
      <c r="I11" s="113"/>
      <c r="J11" s="113"/>
      <c r="K11" s="105"/>
      <c r="L11" s="117"/>
      <c r="M11" s="116" t="str">
        <f>D11</f>
        <v>31.03.2007</v>
      </c>
      <c r="N11" s="116" t="str">
        <f>E11</f>
        <v>31.03.2006</v>
      </c>
      <c r="O11" s="116" t="str">
        <f>F11</f>
        <v>31.03.2007</v>
      </c>
      <c r="P11" s="116" t="str">
        <f>Q11</f>
        <v>31.03.2006</v>
      </c>
      <c r="Q11" s="116" t="str">
        <f>H11</f>
        <v>31.03.2006</v>
      </c>
    </row>
    <row r="12" spans="2:17" ht="13.5">
      <c r="B12" s="118"/>
      <c r="C12" s="119"/>
      <c r="D12" s="120" t="s">
        <v>402</v>
      </c>
      <c r="E12" s="120" t="s">
        <v>402</v>
      </c>
      <c r="F12" s="120" t="s">
        <v>402</v>
      </c>
      <c r="G12" s="120" t="s">
        <v>403</v>
      </c>
      <c r="H12" s="121" t="s">
        <v>403</v>
      </c>
      <c r="I12" s="120" t="s">
        <v>403</v>
      </c>
      <c r="J12" s="120" t="s">
        <v>403</v>
      </c>
      <c r="K12" s="102"/>
      <c r="L12" s="102"/>
      <c r="M12" s="122" t="s">
        <v>402</v>
      </c>
      <c r="N12" s="120" t="s">
        <v>402</v>
      </c>
      <c r="O12" s="120" t="s">
        <v>402</v>
      </c>
      <c r="P12" s="120" t="s">
        <v>403</v>
      </c>
      <c r="Q12" s="121" t="s">
        <v>403</v>
      </c>
    </row>
    <row r="13" spans="2:17" ht="13.5">
      <c r="B13" s="123">
        <v>1</v>
      </c>
      <c r="C13" s="124" t="s">
        <v>404</v>
      </c>
      <c r="D13" s="125" t="e">
        <f>F13-'[1]Publish format'!F13</f>
        <v>#REF!</v>
      </c>
      <c r="E13" s="125">
        <f>'[2]Sheet1'!D13</f>
        <v>1237.03</v>
      </c>
      <c r="F13" s="125" t="e">
        <f>(#REF!+#REF!)/100000</f>
        <v>#REF!</v>
      </c>
      <c r="G13" s="125">
        <f>'[2]Sheet1'!F13</f>
        <v>3998.83</v>
      </c>
      <c r="H13" s="125">
        <v>3998.83</v>
      </c>
      <c r="I13" s="125"/>
      <c r="J13" s="125">
        <v>3332.846171700001</v>
      </c>
      <c r="K13" s="126">
        <v>1</v>
      </c>
      <c r="L13" s="127" t="s">
        <v>405</v>
      </c>
      <c r="M13" s="128"/>
      <c r="N13" s="128"/>
      <c r="O13" s="128"/>
      <c r="P13" s="128"/>
      <c r="Q13" s="101"/>
    </row>
    <row r="14" spans="2:17" ht="13.5">
      <c r="B14" s="123">
        <v>2</v>
      </c>
      <c r="C14" s="124" t="s">
        <v>154</v>
      </c>
      <c r="D14" s="125" t="e">
        <f>F14-'[1]Publish format'!F14</f>
        <v>#REF!</v>
      </c>
      <c r="E14" s="125">
        <f>'[2]Sheet1'!D14</f>
        <v>96.86</v>
      </c>
      <c r="F14" s="125" t="e">
        <f>#REF!/100000</f>
        <v>#REF!</v>
      </c>
      <c r="G14" s="125">
        <f>'[2]Sheet1'!F14</f>
        <v>361.25</v>
      </c>
      <c r="H14" s="129">
        <v>361.25</v>
      </c>
      <c r="I14" s="125"/>
      <c r="J14" s="125"/>
      <c r="K14" s="126"/>
      <c r="L14" s="130" t="s">
        <v>406</v>
      </c>
      <c r="M14" s="131" t="e">
        <f>O14-'[1]Publish format'!O14</f>
        <v>#REF!</v>
      </c>
      <c r="N14" s="129">
        <f>'[2]Sheet1'!N14</f>
        <v>1181.86</v>
      </c>
      <c r="O14" s="129" t="e">
        <f>#REF!/100000</f>
        <v>#REF!</v>
      </c>
      <c r="P14" s="129">
        <f>'[2]Sheet1'!P14</f>
        <v>3747.98</v>
      </c>
      <c r="Q14" s="132">
        <v>3747.98</v>
      </c>
    </row>
    <row r="15" spans="2:17" ht="13.5">
      <c r="B15" s="123"/>
      <c r="C15" s="133" t="s">
        <v>407</v>
      </c>
      <c r="D15" s="134" t="e">
        <f>D13+D14-0.01</f>
        <v>#REF!</v>
      </c>
      <c r="E15" s="134">
        <f>E13+E14</f>
        <v>1333.8899999999999</v>
      </c>
      <c r="F15" s="134" t="e">
        <f>F13+F14</f>
        <v>#REF!</v>
      </c>
      <c r="G15" s="134">
        <f>G13+G14</f>
        <v>4360.08</v>
      </c>
      <c r="H15" s="134">
        <v>4360.08</v>
      </c>
      <c r="I15" s="125"/>
      <c r="J15" s="125">
        <v>1017.3784659999999</v>
      </c>
      <c r="K15" s="126"/>
      <c r="L15" s="130" t="s">
        <v>408</v>
      </c>
      <c r="M15" s="131" t="e">
        <f>O15-'[1]Publish format'!O15</f>
        <v>#REF!</v>
      </c>
      <c r="N15" s="129">
        <f>'[2]Sheet1'!N15</f>
        <v>55.17</v>
      </c>
      <c r="O15" s="129" t="e">
        <f>#REF!/100000</f>
        <v>#REF!</v>
      </c>
      <c r="P15" s="129">
        <f>'[2]Sheet1'!P15</f>
        <v>250.85</v>
      </c>
      <c r="Q15" s="132">
        <v>250.85</v>
      </c>
    </row>
    <row r="16" spans="2:17" ht="13.5">
      <c r="B16" s="123">
        <v>3</v>
      </c>
      <c r="C16" s="124" t="s">
        <v>409</v>
      </c>
      <c r="D16" s="129"/>
      <c r="E16" s="129"/>
      <c r="F16" s="125"/>
      <c r="G16" s="125"/>
      <c r="H16" s="129"/>
      <c r="I16" s="134"/>
      <c r="J16" s="134">
        <v>4350.224637700001</v>
      </c>
      <c r="K16" s="126"/>
      <c r="L16" s="130" t="s">
        <v>166</v>
      </c>
      <c r="M16" s="131" t="e">
        <f>O16-'[1]Publish format'!O16</f>
        <v>#REF!</v>
      </c>
      <c r="N16" s="129">
        <f>'[2]Sheet1'!N16</f>
        <v>96.86</v>
      </c>
      <c r="O16" s="129" t="e">
        <f>#REF!/100000</f>
        <v>#REF!</v>
      </c>
      <c r="P16" s="129">
        <f>'[2]Sheet1'!P16</f>
        <v>361.25</v>
      </c>
      <c r="Q16" s="132">
        <v>361.25</v>
      </c>
    </row>
    <row r="17" spans="2:17" ht="13.5">
      <c r="B17" s="135"/>
      <c r="C17" s="124" t="s">
        <v>410</v>
      </c>
      <c r="D17" s="125" t="e">
        <f>F17-'[1]Publish format'!F17</f>
        <v>#REF!</v>
      </c>
      <c r="E17" s="125">
        <f>'[2]Sheet1'!D17-0.005</f>
        <v>1058.5049999999999</v>
      </c>
      <c r="F17" s="125" t="e">
        <f>#REF!/100000</f>
        <v>#REF!</v>
      </c>
      <c r="G17" s="125">
        <f>'[2]Sheet1'!F17</f>
        <v>3568.4</v>
      </c>
      <c r="H17" s="125">
        <v>3568.4</v>
      </c>
      <c r="I17" s="125"/>
      <c r="J17" s="125"/>
      <c r="K17" s="126"/>
      <c r="L17" s="130" t="s">
        <v>155</v>
      </c>
      <c r="M17" s="134" t="e">
        <f>SUM(M14:M16)-0.01</f>
        <v>#REF!</v>
      </c>
      <c r="N17" s="134">
        <f>SUM(N14:N16)</f>
        <v>1333.8899999999999</v>
      </c>
      <c r="O17" s="134" t="e">
        <f>SUM(O14:O16)</f>
        <v>#REF!</v>
      </c>
      <c r="P17" s="134">
        <f>SUM(P14:P16)-0.01</f>
        <v>4360.07</v>
      </c>
      <c r="Q17" s="136">
        <v>4360.08</v>
      </c>
    </row>
    <row r="18" spans="2:17" ht="13.5">
      <c r="B18" s="135"/>
      <c r="C18" s="124" t="s">
        <v>411</v>
      </c>
      <c r="D18" s="125" t="e">
        <f>F18-'[1]Publish format'!F18</f>
        <v>#REF!</v>
      </c>
      <c r="E18" s="125">
        <f>'[2]Sheet1'!D18</f>
        <v>174.53</v>
      </c>
      <c r="F18" s="125" t="e">
        <f>(#REF!+#REF!)/100000-F21</f>
        <v>#REF!</v>
      </c>
      <c r="G18" s="125">
        <f>'[2]Sheet1'!F18</f>
        <v>1063.21</v>
      </c>
      <c r="H18" s="125">
        <v>1063.21</v>
      </c>
      <c r="I18" s="125"/>
      <c r="J18" s="125">
        <v>2118.2470803</v>
      </c>
      <c r="K18" s="126"/>
      <c r="L18" s="130" t="s">
        <v>412</v>
      </c>
      <c r="M18" s="131">
        <f>O18-'[1]Publish format'!O18</f>
        <v>11.119999999999997</v>
      </c>
      <c r="N18" s="129">
        <f>'[2]Sheet1'!N18</f>
        <v>45.62</v>
      </c>
      <c r="O18" s="129">
        <v>52.94</v>
      </c>
      <c r="P18" s="129">
        <f>'[2]Sheet1'!P18</f>
        <v>126.7</v>
      </c>
      <c r="Q18" s="132">
        <v>126.7</v>
      </c>
    </row>
    <row r="19" spans="2:17" ht="13.5">
      <c r="B19" s="135"/>
      <c r="C19" s="133" t="s">
        <v>413</v>
      </c>
      <c r="D19" s="137" t="e">
        <f>D17+D18</f>
        <v>#REF!</v>
      </c>
      <c r="E19" s="137">
        <f>E17+E18</f>
        <v>1233.0349999999999</v>
      </c>
      <c r="F19" s="137" t="e">
        <f>F17+F18</f>
        <v>#REF!</v>
      </c>
      <c r="G19" s="137">
        <f>G17+G18</f>
        <v>4631.610000000001</v>
      </c>
      <c r="H19" s="137">
        <v>4631.61</v>
      </c>
      <c r="I19" s="125"/>
      <c r="J19" s="125">
        <v>1098.7228352999998</v>
      </c>
      <c r="K19" s="126"/>
      <c r="L19" s="130" t="s">
        <v>414</v>
      </c>
      <c r="M19" s="138" t="e">
        <f>O19-'[1]Publish format'!O19</f>
        <v>#REF!</v>
      </c>
      <c r="N19" s="134">
        <f>N17-N18</f>
        <v>1288.27</v>
      </c>
      <c r="O19" s="134" t="e">
        <f>O17-O18</f>
        <v>#REF!</v>
      </c>
      <c r="P19" s="134">
        <f>P17-P18</f>
        <v>4233.37</v>
      </c>
      <c r="Q19" s="136">
        <v>4233.38</v>
      </c>
    </row>
    <row r="20" spans="2:17" ht="13.5">
      <c r="B20" s="123">
        <v>4</v>
      </c>
      <c r="C20" s="124" t="s">
        <v>415</v>
      </c>
      <c r="D20" s="125" t="e">
        <f>D15-D19</f>
        <v>#REF!</v>
      </c>
      <c r="E20" s="125">
        <f>E15-E19-0.01</f>
        <v>100.84500000000001</v>
      </c>
      <c r="F20" s="125" t="e">
        <f>F15-F19</f>
        <v>#REF!</v>
      </c>
      <c r="G20" s="125">
        <f>G15-G19</f>
        <v>-271.53000000000065</v>
      </c>
      <c r="H20" s="125">
        <v>-271.53000000000065</v>
      </c>
      <c r="I20" s="125"/>
      <c r="J20" s="125"/>
      <c r="K20" s="126"/>
      <c r="L20" s="139"/>
      <c r="M20" s="131"/>
      <c r="N20" s="134"/>
      <c r="O20" s="134"/>
      <c r="P20" s="134"/>
      <c r="Q20" s="132"/>
    </row>
    <row r="21" spans="2:17" ht="13.5">
      <c r="B21" s="123">
        <v>5</v>
      </c>
      <c r="C21" s="124" t="s">
        <v>156</v>
      </c>
      <c r="D21" s="125" t="e">
        <f>F21-'[1]Publish format'!F21</f>
        <v>#REF!</v>
      </c>
      <c r="E21" s="125">
        <f>'[2]Sheet1'!D21</f>
        <v>3.79</v>
      </c>
      <c r="F21" s="125" t="e">
        <f>#REF!/100000</f>
        <v>#REF!</v>
      </c>
      <c r="G21" s="125">
        <f>'[2]Sheet1'!F21</f>
        <v>6.02</v>
      </c>
      <c r="H21" s="125">
        <v>6.02</v>
      </c>
      <c r="I21" s="137"/>
      <c r="J21" s="137">
        <v>3216.9699155999997</v>
      </c>
      <c r="K21" s="126">
        <v>2</v>
      </c>
      <c r="L21" s="127" t="s">
        <v>416</v>
      </c>
      <c r="M21" s="134"/>
      <c r="N21" s="134"/>
      <c r="O21" s="134"/>
      <c r="P21" s="134"/>
      <c r="Q21" s="132"/>
    </row>
    <row r="22" spans="2:17" ht="13.5">
      <c r="B22" s="123">
        <v>6</v>
      </c>
      <c r="C22" s="124" t="s">
        <v>157</v>
      </c>
      <c r="D22" s="125" t="e">
        <f>F22-'[1]Publish format'!F22</f>
        <v>#REF!</v>
      </c>
      <c r="E22" s="125">
        <f>'[2]Sheet1'!D22</f>
        <v>77.44</v>
      </c>
      <c r="F22" s="125" t="e">
        <f>#REF!/100000</f>
        <v>#REF!</v>
      </c>
      <c r="G22" s="125">
        <f>'[2]Sheet1'!F22</f>
        <v>299.77</v>
      </c>
      <c r="H22" s="125">
        <v>299.77</v>
      </c>
      <c r="I22" s="125"/>
      <c r="J22" s="125">
        <v>1133.2547221000013</v>
      </c>
      <c r="K22" s="126"/>
      <c r="L22" s="130" t="s">
        <v>417</v>
      </c>
      <c r="M22" s="134"/>
      <c r="N22" s="134"/>
      <c r="O22" s="134"/>
      <c r="P22" s="134"/>
      <c r="Q22" s="132"/>
    </row>
    <row r="23" spans="2:17" ht="13.5">
      <c r="B23" s="123">
        <v>7</v>
      </c>
      <c r="C23" s="133" t="s">
        <v>418</v>
      </c>
      <c r="D23" s="137" t="e">
        <f>D20-D21-D22</f>
        <v>#REF!</v>
      </c>
      <c r="E23" s="137">
        <f>E20-E21-E22</f>
        <v>19.61500000000001</v>
      </c>
      <c r="F23" s="137" t="e">
        <f>F20-F21-F22</f>
        <v>#REF!</v>
      </c>
      <c r="G23" s="137">
        <f>G20-G21-G22</f>
        <v>-577.3200000000006</v>
      </c>
      <c r="H23" s="137">
        <v>-577.3200000000006</v>
      </c>
      <c r="I23" s="125"/>
      <c r="J23" s="125">
        <v>5.0388885</v>
      </c>
      <c r="K23" s="126"/>
      <c r="L23" s="130" t="s">
        <v>419</v>
      </c>
      <c r="M23" s="134"/>
      <c r="N23" s="134"/>
      <c r="O23" s="134"/>
      <c r="P23" s="134"/>
      <c r="Q23" s="132"/>
    </row>
    <row r="24" spans="2:17" ht="13.5">
      <c r="B24" s="123">
        <v>8</v>
      </c>
      <c r="C24" s="124" t="s">
        <v>420</v>
      </c>
      <c r="D24" s="125"/>
      <c r="E24" s="125"/>
      <c r="F24" s="125"/>
      <c r="G24" s="125"/>
      <c r="H24" s="125"/>
      <c r="I24" s="125"/>
      <c r="J24" s="125">
        <v>401.94295</v>
      </c>
      <c r="K24" s="126"/>
      <c r="L24" s="130" t="s">
        <v>406</v>
      </c>
      <c r="M24" s="131" t="e">
        <f>O24-'[1]Publish format'!O24</f>
        <v>#REF!</v>
      </c>
      <c r="N24" s="129">
        <f>'[2]Sheet1'!N24</f>
        <v>136.18</v>
      </c>
      <c r="O24" s="129" t="e">
        <f>O14-#REF!/100000</f>
        <v>#REF!</v>
      </c>
      <c r="P24" s="129">
        <f>'[2]Sheet1'!P24</f>
        <v>230.89</v>
      </c>
      <c r="Q24" s="132">
        <v>230.89</v>
      </c>
    </row>
    <row r="25" spans="2:17" ht="13.5">
      <c r="B25" s="123"/>
      <c r="C25" s="124" t="s">
        <v>421</v>
      </c>
      <c r="D25" s="125" t="e">
        <f>F25-'[1]Publish format'!F25</f>
        <v>#REF!</v>
      </c>
      <c r="E25" s="125">
        <f>'[2]Sheet1'!D25</f>
        <v>0</v>
      </c>
      <c r="F25" s="125" t="e">
        <f>#REF!/100000</f>
        <v>#REF!</v>
      </c>
      <c r="G25" s="125">
        <f>'[2]Sheet1'!F25</f>
        <v>0</v>
      </c>
      <c r="H25" s="125">
        <v>0</v>
      </c>
      <c r="I25" s="137"/>
      <c r="J25" s="137">
        <v>726.2728836000014</v>
      </c>
      <c r="K25" s="126"/>
      <c r="L25" s="130" t="s">
        <v>408</v>
      </c>
      <c r="M25" s="131" t="e">
        <f>O25-'[1]Publish format'!O25</f>
        <v>#REF!</v>
      </c>
      <c r="N25" s="129">
        <f>'[2]Sheet1'!N25</f>
        <v>-48.83</v>
      </c>
      <c r="O25" s="129" t="e">
        <f>#REF!/100000</f>
        <v>#REF!</v>
      </c>
      <c r="P25" s="129">
        <f>'[2]Sheet1'!P25</f>
        <v>-98.05</v>
      </c>
      <c r="Q25" s="132">
        <v>-98.05</v>
      </c>
    </row>
    <row r="26" spans="2:17" ht="13.5">
      <c r="B26" s="123"/>
      <c r="C26" s="124" t="s">
        <v>422</v>
      </c>
      <c r="D26" s="125" t="e">
        <f>F26-'[1]Publish format'!F26</f>
        <v>#REF!</v>
      </c>
      <c r="E26" s="125">
        <f>'[2]Sheet1'!D26</f>
        <v>-5.7</v>
      </c>
      <c r="F26" s="125" t="e">
        <f>#REF!/100000</f>
        <v>#REF!</v>
      </c>
      <c r="G26" s="125">
        <f>'[2]Sheet1'!F26</f>
        <v>-22.51</v>
      </c>
      <c r="H26" s="125">
        <v>-22.51</v>
      </c>
      <c r="I26" s="128"/>
      <c r="J26" s="128"/>
      <c r="K26" s="126"/>
      <c r="L26" s="130" t="s">
        <v>166</v>
      </c>
      <c r="M26" s="131" t="e">
        <f>O26-'[1]Publish format'!O26</f>
        <v>#REF!</v>
      </c>
      <c r="N26" s="129">
        <f>'[2]Sheet1'!N26</f>
        <v>96.86</v>
      </c>
      <c r="O26" s="129" t="e">
        <f>O16</f>
        <v>#REF!</v>
      </c>
      <c r="P26" s="129">
        <f>'[2]Sheet1'!P26</f>
        <v>361.25</v>
      </c>
      <c r="Q26" s="132">
        <v>361.25</v>
      </c>
    </row>
    <row r="27" spans="2:17" ht="13.5">
      <c r="B27" s="123"/>
      <c r="C27" s="124" t="s">
        <v>423</v>
      </c>
      <c r="D27" s="125" t="e">
        <f>F27-'[1]Publish format'!F27</f>
        <v>#REF!</v>
      </c>
      <c r="E27" s="125">
        <f>'[2]Sheet1'!D27</f>
        <v>1.74</v>
      </c>
      <c r="F27" s="125" t="e">
        <f>#REF!/100000</f>
        <v>#REF!</v>
      </c>
      <c r="G27" s="125">
        <f>'[2]Sheet1'!F27</f>
        <v>9.75</v>
      </c>
      <c r="H27" s="125">
        <v>9.75</v>
      </c>
      <c r="I27" s="128"/>
      <c r="J27" s="128"/>
      <c r="K27" s="126"/>
      <c r="L27" s="130" t="s">
        <v>155</v>
      </c>
      <c r="M27" s="134" t="e">
        <f>SUM(M24:M26)</f>
        <v>#REF!</v>
      </c>
      <c r="N27" s="134">
        <f>SUM(N24:N26)</f>
        <v>184.21</v>
      </c>
      <c r="O27" s="134" t="e">
        <f>SUM(O24:O26)</f>
        <v>#REF!</v>
      </c>
      <c r="P27" s="134">
        <f>SUM(P24:P26)</f>
        <v>494.09</v>
      </c>
      <c r="Q27" s="136">
        <v>494.09</v>
      </c>
    </row>
    <row r="28" spans="2:17" ht="13.5">
      <c r="B28" s="123">
        <v>9</v>
      </c>
      <c r="C28" s="133" t="s">
        <v>424</v>
      </c>
      <c r="D28" s="137" t="e">
        <f>D23-D25-D26-D27</f>
        <v>#REF!</v>
      </c>
      <c r="E28" s="137">
        <f>E23-E25-E26-E27</f>
        <v>23.57500000000001</v>
      </c>
      <c r="F28" s="137" t="e">
        <f>F23-F25-F26-F27</f>
        <v>#REF!</v>
      </c>
      <c r="G28" s="137">
        <f>G23-G25-G26-G27</f>
        <v>-564.5600000000006</v>
      </c>
      <c r="H28" s="137">
        <v>-564.5600000000006</v>
      </c>
      <c r="I28" s="125"/>
      <c r="J28" s="125">
        <v>202</v>
      </c>
      <c r="K28" s="126"/>
      <c r="L28" s="102"/>
      <c r="M28" s="7"/>
      <c r="N28" s="7"/>
      <c r="O28" s="7"/>
      <c r="P28" s="7"/>
      <c r="Q28" s="101"/>
    </row>
    <row r="29" spans="2:17" ht="13.5">
      <c r="B29" s="123">
        <v>10</v>
      </c>
      <c r="C29" s="124" t="s">
        <v>425</v>
      </c>
      <c r="D29" s="125">
        <v>1129.06</v>
      </c>
      <c r="E29" s="125">
        <v>1129.06</v>
      </c>
      <c r="F29" s="125">
        <v>1129.06</v>
      </c>
      <c r="G29" s="125">
        <f>'[2]Sheet1'!F29</f>
        <v>1129.06</v>
      </c>
      <c r="H29" s="125">
        <v>1129.06</v>
      </c>
      <c r="I29" s="125"/>
      <c r="J29" s="125">
        <v>-192.11188352108746</v>
      </c>
      <c r="K29" s="126"/>
      <c r="L29" s="130" t="s">
        <v>426</v>
      </c>
      <c r="M29" s="131" t="e">
        <f>O29-'[1]Publish format'!O29</f>
        <v>#REF!</v>
      </c>
      <c r="N29" s="129">
        <f>'[2]Sheet1'!N29</f>
        <v>-3.79</v>
      </c>
      <c r="O29" s="129" t="e">
        <f>-#REF!/100000</f>
        <v>#REF!</v>
      </c>
      <c r="P29" s="129">
        <f>'[2]Sheet1'!P29</f>
        <v>-6.02</v>
      </c>
      <c r="Q29" s="132">
        <v>-6.02</v>
      </c>
    </row>
    <row r="30" spans="2:17" ht="13.5">
      <c r="B30" s="135"/>
      <c r="C30" s="124" t="s">
        <v>427</v>
      </c>
      <c r="D30" s="137"/>
      <c r="E30" s="137"/>
      <c r="F30" s="137"/>
      <c r="G30" s="137"/>
      <c r="H30" s="137"/>
      <c r="I30" s="137"/>
      <c r="J30" s="137">
        <v>716.3847671210888</v>
      </c>
      <c r="K30" s="126"/>
      <c r="L30" s="130" t="s">
        <v>712</v>
      </c>
      <c r="M30" s="131"/>
      <c r="N30" s="129"/>
      <c r="O30" s="129"/>
      <c r="P30" s="129"/>
      <c r="Q30" s="132"/>
    </row>
    <row r="31" spans="2:17" ht="13.5">
      <c r="B31" s="123">
        <v>11</v>
      </c>
      <c r="C31" s="124" t="s">
        <v>428</v>
      </c>
      <c r="D31" s="129"/>
      <c r="E31" s="129"/>
      <c r="F31" s="129"/>
      <c r="G31" s="129"/>
      <c r="H31" s="129"/>
      <c r="I31" s="125"/>
      <c r="J31" s="125">
        <v>1129.06</v>
      </c>
      <c r="K31" s="126"/>
      <c r="L31" s="130" t="s">
        <v>713</v>
      </c>
      <c r="M31" s="131" t="e">
        <f>O31-'[1]Publish format'!O31-0.01</f>
        <v>#REF!</v>
      </c>
      <c r="N31" s="129">
        <f>'[2]Sheet1'!N31</f>
        <v>-160.8</v>
      </c>
      <c r="O31" s="129" t="e">
        <f>-(SUM(#REF!)-#REF!-#REF!)/100000-O29</f>
        <v>#REF!</v>
      </c>
      <c r="P31" s="129">
        <f>'[2]Sheet1'!P31</f>
        <v>-1065.39</v>
      </c>
      <c r="Q31" s="132">
        <v>-1065.39</v>
      </c>
    </row>
    <row r="32" spans="2:17" ht="13.5">
      <c r="B32" s="135"/>
      <c r="C32" s="124" t="s">
        <v>429</v>
      </c>
      <c r="D32" s="129"/>
      <c r="E32" s="129"/>
      <c r="F32" s="129"/>
      <c r="G32" s="129"/>
      <c r="H32" s="129"/>
      <c r="I32" s="137"/>
      <c r="J32" s="137">
        <v>5</v>
      </c>
      <c r="K32" s="126"/>
      <c r="L32" s="130" t="s">
        <v>430</v>
      </c>
      <c r="M32" s="134" t="e">
        <f>M27+M29+M31</f>
        <v>#REF!</v>
      </c>
      <c r="N32" s="134">
        <f>N27+N29+N31</f>
        <v>19.620000000000005</v>
      </c>
      <c r="O32" s="134" t="e">
        <f>O27+O29+O31+O30</f>
        <v>#REF!</v>
      </c>
      <c r="P32" s="134">
        <f>'[2]Sheet1'!P32</f>
        <v>-577.3200000000002</v>
      </c>
      <c r="Q32" s="136">
        <v>-577.32</v>
      </c>
    </row>
    <row r="33" spans="2:17" ht="13.5">
      <c r="B33" s="135"/>
      <c r="C33" s="124" t="s">
        <v>431</v>
      </c>
      <c r="D33" s="140"/>
      <c r="E33" s="140"/>
      <c r="F33" s="140"/>
      <c r="G33" s="125">
        <f>H33</f>
        <v>9752.55</v>
      </c>
      <c r="H33" s="140">
        <v>9752.55</v>
      </c>
      <c r="I33" s="125"/>
      <c r="J33" s="125"/>
      <c r="K33" s="126"/>
      <c r="L33" s="102"/>
      <c r="M33" s="124"/>
      <c r="N33" s="124"/>
      <c r="O33" s="124"/>
      <c r="P33" s="124"/>
      <c r="Q33" s="141"/>
    </row>
    <row r="34" spans="2:17" ht="13.5">
      <c r="B34" s="123">
        <v>12</v>
      </c>
      <c r="C34" s="124" t="s">
        <v>432</v>
      </c>
      <c r="D34" s="137">
        <v>0</v>
      </c>
      <c r="E34" s="137">
        <v>0</v>
      </c>
      <c r="F34" s="137" t="e">
        <f>F28*100000/22581200</f>
        <v>#REF!</v>
      </c>
      <c r="G34" s="137">
        <v>0</v>
      </c>
      <c r="H34" s="137">
        <v>0</v>
      </c>
      <c r="I34" s="125"/>
      <c r="J34" s="125"/>
      <c r="K34" s="126">
        <v>3</v>
      </c>
      <c r="L34" s="127" t="s">
        <v>433</v>
      </c>
      <c r="M34" s="134"/>
      <c r="N34" s="134"/>
      <c r="O34" s="134"/>
      <c r="P34" s="134"/>
      <c r="Q34" s="132"/>
    </row>
    <row r="35" spans="2:17" ht="13.5">
      <c r="B35" s="123">
        <v>13</v>
      </c>
      <c r="C35" s="124" t="s">
        <v>434</v>
      </c>
      <c r="D35" s="129"/>
      <c r="E35" s="129"/>
      <c r="F35" s="129"/>
      <c r="G35" s="129"/>
      <c r="H35" s="129"/>
      <c r="I35" s="125"/>
      <c r="J35" s="125"/>
      <c r="K35" s="142"/>
      <c r="L35" s="135" t="s">
        <v>435</v>
      </c>
      <c r="M35" s="143"/>
      <c r="N35" s="143"/>
      <c r="O35" s="143"/>
      <c r="P35" s="143"/>
      <c r="Q35" s="132"/>
    </row>
    <row r="36" spans="2:17" ht="13.5">
      <c r="B36" s="135"/>
      <c r="C36" s="144" t="s">
        <v>436</v>
      </c>
      <c r="D36" s="145">
        <v>6716910</v>
      </c>
      <c r="E36" s="145">
        <v>6716910</v>
      </c>
      <c r="F36" s="145">
        <v>6716910</v>
      </c>
      <c r="G36" s="145">
        <v>6716910</v>
      </c>
      <c r="H36" s="145">
        <v>6716910</v>
      </c>
      <c r="I36" s="137"/>
      <c r="J36" s="137">
        <v>3.1724831590929123</v>
      </c>
      <c r="K36" s="105"/>
      <c r="L36" s="135" t="s">
        <v>406</v>
      </c>
      <c r="M36" s="131" t="e">
        <f>O36</f>
        <v>#REF!</v>
      </c>
      <c r="N36" s="129">
        <f>Q36</f>
        <v>2158.08</v>
      </c>
      <c r="O36" s="146" t="e">
        <f>#REF!/100000</f>
        <v>#REF!</v>
      </c>
      <c r="P36" s="129">
        <f>'[2]Sheet1'!P36</f>
        <v>2158.08</v>
      </c>
      <c r="Q36" s="132">
        <v>2158.08</v>
      </c>
    </row>
    <row r="37" spans="2:17" ht="13.5">
      <c r="B37" s="147"/>
      <c r="C37" s="148" t="s">
        <v>437</v>
      </c>
      <c r="D37" s="149">
        <v>0.2975</v>
      </c>
      <c r="E37" s="149">
        <v>0.2975</v>
      </c>
      <c r="F37" s="149">
        <v>0.2975</v>
      </c>
      <c r="G37" s="149">
        <v>0.2975</v>
      </c>
      <c r="H37" s="149">
        <v>0.2975</v>
      </c>
      <c r="I37" s="150"/>
      <c r="J37" s="150"/>
      <c r="K37" s="151"/>
      <c r="L37" s="147" t="s">
        <v>408</v>
      </c>
      <c r="M37" s="152" t="e">
        <f>O37</f>
        <v>#REF!</v>
      </c>
      <c r="N37" s="153">
        <f>Q37</f>
        <v>1694.48</v>
      </c>
      <c r="O37" s="154" t="e">
        <f>#REF!/100000</f>
        <v>#REF!</v>
      </c>
      <c r="P37" s="129">
        <f>'[2]Sheet1'!P37</f>
        <v>1694.48</v>
      </c>
      <c r="Q37" s="155">
        <v>1694.48</v>
      </c>
    </row>
    <row r="38" spans="2:17" ht="12.75">
      <c r="B38" s="102"/>
      <c r="C38" s="44" t="s">
        <v>438</v>
      </c>
      <c r="D38" s="7"/>
      <c r="E38" s="7"/>
      <c r="F38" s="5"/>
      <c r="G38" s="5"/>
      <c r="H38" s="156"/>
      <c r="I38" s="5"/>
      <c r="J38" s="5"/>
      <c r="K38" s="7"/>
      <c r="L38" s="102"/>
      <c r="M38" s="131"/>
      <c r="N38" s="131"/>
      <c r="O38" s="7"/>
      <c r="P38" s="7"/>
      <c r="Q38" s="157"/>
    </row>
    <row r="39" spans="2:17" ht="12.75">
      <c r="B39" s="158" t="s">
        <v>439</v>
      </c>
      <c r="C39" s="7" t="s">
        <v>707</v>
      </c>
      <c r="D39" s="7"/>
      <c r="E39" s="7"/>
      <c r="F39" s="5"/>
      <c r="G39" s="5"/>
      <c r="H39" s="159"/>
      <c r="I39" s="5"/>
      <c r="J39" s="5"/>
      <c r="K39" s="7"/>
      <c r="L39" s="102"/>
      <c r="M39" s="7"/>
      <c r="N39" s="131"/>
      <c r="O39" s="7"/>
      <c r="P39" s="7"/>
      <c r="Q39" s="157"/>
    </row>
    <row r="40" spans="2:17" ht="12.75">
      <c r="B40" s="158" t="s">
        <v>440</v>
      </c>
      <c r="C40" s="7" t="s">
        <v>484</v>
      </c>
      <c r="D40" s="7"/>
      <c r="E40" s="7"/>
      <c r="F40" s="5"/>
      <c r="G40" s="5"/>
      <c r="H40" s="159"/>
      <c r="I40" s="5"/>
      <c r="J40" s="5"/>
      <c r="K40" s="7"/>
      <c r="L40" s="102"/>
      <c r="M40" s="7"/>
      <c r="N40" s="7"/>
      <c r="O40" s="7"/>
      <c r="P40" s="7"/>
      <c r="Q40" s="157"/>
    </row>
    <row r="41" spans="2:17" ht="12.75">
      <c r="B41" s="158"/>
      <c r="C41" s="7" t="s">
        <v>447</v>
      </c>
      <c r="D41" s="7"/>
      <c r="E41" s="7"/>
      <c r="F41" s="5"/>
      <c r="G41" s="5"/>
      <c r="H41" s="159"/>
      <c r="I41" s="5"/>
      <c r="J41" s="5"/>
      <c r="K41" s="7"/>
      <c r="L41" s="102"/>
      <c r="M41" s="7"/>
      <c r="N41" s="7"/>
      <c r="O41" s="7"/>
      <c r="P41" s="7"/>
      <c r="Q41" s="157"/>
    </row>
    <row r="42" spans="2:17" ht="12.75">
      <c r="B42" s="158" t="s">
        <v>441</v>
      </c>
      <c r="C42" s="7" t="s">
        <v>708</v>
      </c>
      <c r="D42" s="7"/>
      <c r="E42" s="7"/>
      <c r="F42" s="5"/>
      <c r="G42" s="5"/>
      <c r="H42" s="159"/>
      <c r="I42" s="5"/>
      <c r="J42" s="5"/>
      <c r="K42" s="7"/>
      <c r="L42" s="102"/>
      <c r="M42" s="7"/>
      <c r="N42" s="7"/>
      <c r="P42" s="7" t="s">
        <v>714</v>
      </c>
      <c r="Q42" s="157"/>
    </row>
    <row r="43" spans="2:17" ht="12.75">
      <c r="B43" s="158" t="s">
        <v>657</v>
      </c>
      <c r="C43" s="160" t="s">
        <v>658</v>
      </c>
      <c r="D43" s="7"/>
      <c r="E43" s="7"/>
      <c r="F43" s="5"/>
      <c r="G43" s="5"/>
      <c r="H43" s="159"/>
      <c r="I43" s="5"/>
      <c r="J43" s="5"/>
      <c r="K43" s="7"/>
      <c r="L43" s="102"/>
      <c r="M43" s="7"/>
      <c r="N43" s="7"/>
      <c r="P43" s="7" t="s">
        <v>715</v>
      </c>
      <c r="Q43" s="157"/>
    </row>
    <row r="44" spans="1:17" ht="12.75">
      <c r="A44" s="101"/>
      <c r="C44" s="160"/>
      <c r="D44" s="7"/>
      <c r="E44" s="7"/>
      <c r="F44" s="5"/>
      <c r="G44" s="5"/>
      <c r="H44" s="159"/>
      <c r="I44" s="5"/>
      <c r="J44" s="5"/>
      <c r="K44" s="7"/>
      <c r="L44" s="102"/>
      <c r="M44" s="7"/>
      <c r="N44" s="7"/>
      <c r="P44" s="7"/>
      <c r="Q44" s="157"/>
    </row>
    <row r="45" spans="1:17" ht="12.75">
      <c r="A45" s="101"/>
      <c r="C45" s="160"/>
      <c r="D45" s="7"/>
      <c r="E45" s="7"/>
      <c r="F45" s="5"/>
      <c r="G45" s="5"/>
      <c r="H45" s="159"/>
      <c r="I45" s="5"/>
      <c r="J45" s="5"/>
      <c r="K45" s="7"/>
      <c r="L45" s="102"/>
      <c r="M45" s="7"/>
      <c r="N45" s="7"/>
      <c r="P45" s="7"/>
      <c r="Q45" s="157"/>
    </row>
    <row r="46" spans="1:17" ht="12.75">
      <c r="A46" s="101"/>
      <c r="B46" s="34"/>
      <c r="D46" s="7"/>
      <c r="E46" s="7"/>
      <c r="F46" s="5"/>
      <c r="G46" s="5"/>
      <c r="H46" s="159"/>
      <c r="I46" s="5"/>
      <c r="J46" s="5"/>
      <c r="K46" s="7"/>
      <c r="L46" s="102"/>
      <c r="M46" s="7"/>
      <c r="N46" s="7"/>
      <c r="P46" s="7"/>
      <c r="Q46" s="157"/>
    </row>
    <row r="47" spans="2:17" ht="12.75">
      <c r="B47" s="102"/>
      <c r="C47" s="7"/>
      <c r="D47" s="7"/>
      <c r="E47" s="7"/>
      <c r="F47" s="7"/>
      <c r="G47" s="7"/>
      <c r="H47" s="161"/>
      <c r="I47" s="7"/>
      <c r="J47" s="161"/>
      <c r="K47" s="7"/>
      <c r="L47" s="102"/>
      <c r="M47" s="7"/>
      <c r="N47" s="7"/>
      <c r="P47" s="7" t="s">
        <v>716</v>
      </c>
      <c r="Q47" s="161"/>
    </row>
    <row r="48" spans="2:17" ht="12.75">
      <c r="B48" s="162" t="s">
        <v>442</v>
      </c>
      <c r="C48" s="5" t="s">
        <v>706</v>
      </c>
      <c r="D48" s="7"/>
      <c r="E48" s="7"/>
      <c r="F48" s="7"/>
      <c r="G48" s="7"/>
      <c r="H48" s="163" t="s">
        <v>443</v>
      </c>
      <c r="I48" s="7"/>
      <c r="J48" s="163" t="s">
        <v>443</v>
      </c>
      <c r="K48" s="7"/>
      <c r="L48" s="102"/>
      <c r="M48" s="164"/>
      <c r="N48" s="164"/>
      <c r="P48" s="47" t="s">
        <v>446</v>
      </c>
      <c r="Q48" s="163"/>
    </row>
    <row r="49" spans="2:17" ht="12.75">
      <c r="B49" s="165" t="s">
        <v>444</v>
      </c>
      <c r="C49" s="29" t="s">
        <v>445</v>
      </c>
      <c r="D49" s="119"/>
      <c r="E49" s="119"/>
      <c r="F49" s="119"/>
      <c r="G49" s="119"/>
      <c r="H49" s="166" t="s">
        <v>446</v>
      </c>
      <c r="I49" s="119"/>
      <c r="J49" s="167" t="s">
        <v>446</v>
      </c>
      <c r="K49" s="119"/>
      <c r="L49" s="115"/>
      <c r="M49" s="167"/>
      <c r="N49" s="167"/>
      <c r="O49" s="167"/>
      <c r="P49" s="167"/>
      <c r="Q49" s="166"/>
    </row>
  </sheetData>
  <sheetProtection/>
  <mergeCells count="5">
    <mergeCell ref="B5:J5"/>
    <mergeCell ref="B2:J2"/>
    <mergeCell ref="L2:O2"/>
    <mergeCell ref="B3:J3"/>
    <mergeCell ref="L3:O3"/>
  </mergeCells>
  <printOptions gridLines="1"/>
  <pageMargins left="0.29" right="0.17" top="1" bottom="1" header="0.48" footer="0.5"/>
  <pageSetup fitToHeight="1" fitToWidth="1" horizontalDpi="600" verticalDpi="600" orientation="portrait" scale="44" r:id="rId1"/>
  <headerFooter alignWithMargins="0">
    <oddFooter>&amp;L&amp;Z&amp;F&amp;A&amp;R&amp;D&amp;T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HEMANT</cp:lastModifiedBy>
  <cp:lastPrinted>2008-07-25T06:13:37Z</cp:lastPrinted>
  <dcterms:created xsi:type="dcterms:W3CDTF">2003-06-30T14:38:30Z</dcterms:created>
  <dcterms:modified xsi:type="dcterms:W3CDTF">2008-07-25T07:34:52Z</dcterms:modified>
  <cp:category/>
  <cp:version/>
  <cp:contentType/>
  <cp:contentStatus/>
</cp:coreProperties>
</file>